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" windowHeight="1335" activeTab="0"/>
  </bookViews>
  <sheets>
    <sheet name="Локальная смета 12 гр. Для Т" sheetId="1" r:id="rId1"/>
    <sheet name="Source" sheetId="2" r:id="rId2"/>
    <sheet name="SmtRes" sheetId="3" r:id="rId3"/>
    <sheet name="EtalonRes" sheetId="4" r:id="rId4"/>
    <sheet name="ClcRes" sheetId="5" r:id="rId5"/>
  </sheets>
  <definedNames>
    <definedName name="_xlnm.Print_Titles" localSheetId="0">'Локальная смета 12 гр. Для Т'!$40:$40</definedName>
    <definedName name="_xlnm.Print_Area" localSheetId="0">'Локальная смета 12 гр. Для Т'!$A$1:$L$92</definedName>
  </definedNames>
  <calcPr fullCalcOnLoad="1"/>
</workbook>
</file>

<file path=xl/sharedStrings.xml><?xml version="1.0" encoding="utf-8"?>
<sst xmlns="http://schemas.openxmlformats.org/spreadsheetml/2006/main" count="614" uniqueCount="209">
  <si>
    <t>Новый объект</t>
  </si>
  <si>
    <t>№153-31.05.16 С Смета на ремонт кровли(Гаврилов Филипп)</t>
  </si>
  <si>
    <t/>
  </si>
  <si>
    <t>Мособлгосэкспертиза</t>
  </si>
  <si>
    <t>Сметные нормы списания</t>
  </si>
  <si>
    <t>Коды ценников</t>
  </si>
  <si>
    <t>ТЕР МО Ремонт</t>
  </si>
  <si>
    <t>Версия 7 от 03.02.2011: ФЕР/ТЕР с п.41099-КК/08 (Кап.ремонт производственных зд.): Центральные регионы: Текущие цены</t>
  </si>
  <si>
    <t>ТСНБ-2001 Московской области</t>
  </si>
  <si>
    <t>Новая локальная смета</t>
  </si>
  <si>
    <t>ремонт кровли</t>
  </si>
  <si>
    <t>{1BA3C8CD-CBFB-4625-88E5-0160FF1BED51}</t>
  </si>
  <si>
    <t>1</t>
  </si>
  <si>
    <t>58-16-3</t>
  </si>
  <si>
    <t>Ремонт цементной стяжки площадью заделки: до 1,0 м2</t>
  </si>
  <si>
    <t>100 шт.</t>
  </si>
  <si>
    <t>ТСНБ-2001 Московская обл 58-16-3, распоряжение №52 от 06.09.2011г.</t>
  </si>
  <si>
    <t>)*1,15</t>
  </si>
  <si>
    <t>100 мест</t>
  </si>
  <si>
    <t>Ремонтно-строительные работы</t>
  </si>
  <si>
    <t>Крыши, кровля</t>
  </si>
  <si>
    <t>ФЕРр-58</t>
  </si>
  <si>
    <t>Поправка: МДС 81-35.2004, прил.1, т.3, п.3</t>
  </si>
  <si>
    <t>2</t>
  </si>
  <si>
    <t>58-7-2</t>
  </si>
  <si>
    <t>Ремонт отдельными местами рулонного покрытия с промазкой: битумными составами с заменой 2 слоев</t>
  </si>
  <si>
    <t>100 м2</t>
  </si>
  <si>
    <t>ТСНБ-2001 Московская обл 58-7-2, распоряжение №52 от 06.09.2011г.</t>
  </si>
  <si>
    <t>100 м2 покрытий</t>
  </si>
  <si>
    <t>2,1</t>
  </si>
  <si>
    <t>101-1961</t>
  </si>
  <si>
    <t>Материалы рулонные кровельные для верхнего слоя, изопласт ЭКП-4.5</t>
  </si>
  <si>
    <t>м2</t>
  </si>
  <si>
    <t>ТСНБ-2001 Московская обл 101-1961</t>
  </si>
  <si>
    <t>3</t>
  </si>
  <si>
    <t>12-01-004-1</t>
  </si>
  <si>
    <t>Устройство примыканий рулонных и мастичных кровель к стенам и парапетам высотой до 600 мм без фартуков</t>
  </si>
  <si>
    <t>100 м</t>
  </si>
  <si>
    <t>ТСНБ-2001 Московская обл 12-01-004-1, распоряжение №52 от 06.09.2011г.</t>
  </si>
  <si>
    <t>)*1,25)*1,15</t>
  </si>
  <si>
    <t>)*1,15)*1,15</t>
  </si>
  <si>
    <t>100 м примыканий</t>
  </si>
  <si>
    <t>Общестроительные работы</t>
  </si>
  <si>
    <t>Кровли</t>
  </si>
  <si>
    <t>ФЕР-12</t>
  </si>
  <si>
    <t>Поправка: МДС 81-35.2004, п.4.7  Поправка: МДС 81-35.2004, прил.1, т.3, п.3</t>
  </si>
  <si>
    <t>*0.9</t>
  </si>
  <si>
    <t>*0.85</t>
  </si>
  <si>
    <t>(*0.85)</t>
  </si>
  <si>
    <t>(*0.8)</t>
  </si>
  <si>
    <t>ПЗ</t>
  </si>
  <si>
    <t>Прямые затраты</t>
  </si>
  <si>
    <t>СтМат</t>
  </si>
  <si>
    <t>Стоимость материальных ресурсов</t>
  </si>
  <si>
    <t>СтМатЗак</t>
  </si>
  <si>
    <t>Стоимость материалов заказчика</t>
  </si>
  <si>
    <t>Оборуд</t>
  </si>
  <si>
    <t>Стоимость оборудования</t>
  </si>
  <si>
    <t>ЭММ</t>
  </si>
  <si>
    <t>Эксплуатация машин</t>
  </si>
  <si>
    <t>ЗПМ</t>
  </si>
  <si>
    <t>ЗП машинистов</t>
  </si>
  <si>
    <t>ОЗП</t>
  </si>
  <si>
    <t>Основная ЗП рабочих</t>
  </si>
  <si>
    <t>ВозврМат</t>
  </si>
  <si>
    <t>Возврат материалов</t>
  </si>
  <si>
    <t>ТрудСтр</t>
  </si>
  <si>
    <t>Трудозатраты строителей</t>
  </si>
  <si>
    <t>ТрудМаш</t>
  </si>
  <si>
    <t>Трудозатраты машинистов</t>
  </si>
  <si>
    <t>ТранспМат</t>
  </si>
  <si>
    <t>Транспорт материалов</t>
  </si>
  <si>
    <t>НР</t>
  </si>
  <si>
    <t>Накладные расходы</t>
  </si>
  <si>
    <t>СмПриб</t>
  </si>
  <si>
    <t>Сметная прибыль</t>
  </si>
  <si>
    <t>всего</t>
  </si>
  <si>
    <t>Всего по смете</t>
  </si>
  <si>
    <t>ндс</t>
  </si>
  <si>
    <t>НДС 18%</t>
  </si>
  <si>
    <t>итого</t>
  </si>
  <si>
    <t>Итого с НДС</t>
  </si>
  <si>
    <t>_РЕМ_НР</t>
  </si>
  <si>
    <t>Коэфф. 0,90    к НР при ремонте жилых и общ. зд.</t>
  </si>
  <si>
    <t>Для сборников  ФЕР и  ФЕРмр :  · Значение {_НР_РЕМ}= 0,90 -  при ремонте зданий жилого и гражданского назначений ( 0,90 к НР) ;  · Значение {_НР_РЕМ}= 1,00  - при строительстве  и реконструкции  объектов всех назначений</t>
  </si>
  <si>
    <t>_РЕМ_СП</t>
  </si>
  <si>
    <t>Коэфф. 0,85    к СП при ремонте зданий и сооруженй</t>
  </si>
  <si>
    <t>Для сборников  ФЕР и  ФЕРмр :   · Значение {_СП_РЕМ} = 0.85  -  при ремонте зданий всех назначений ( 0,85 к СП);   · Значение {_СП_РЕМ} = 1,00 -  при строительстве  и реконструкции  объектов всех назначений</t>
  </si>
  <si>
    <t>_СВ_НР</t>
  </si>
  <si>
    <t>Коэфф. 0,85    к НР для текущего уровня цен с 01.01.2011</t>
  </si>
  <si>
    <t>Для норм НР с 1.01.2011 года:  · {_ECH} = 0.85  -  Коэффициент   учитывающий изменение нормы страховых взносов с  1.01.1 - (при расчете в текущем уровне цен  индексами по статьям затрат )  · {_ECH} = 1,00  -  при расчет в текущем уровне цен и при упрощенн</t>
  </si>
  <si>
    <t>_СВ_СП</t>
  </si>
  <si>
    <t>Коэфф. 0,80    к СП для текущего уровня цен с 01.01.2011</t>
  </si>
  <si>
    <t>Для норм СП с 1.01.2011 года:  · {_ECH} = 0.80  -  Коэффициент   учитывающий изменение нормы страховых взносов с  1.01.11 - (при расчете в текущем уровне цен  индексами по статьям затрат )  · {_ECH} = 1,00  -  без учета</t>
  </si>
  <si>
    <t>_ТЕК</t>
  </si>
  <si>
    <t>{вкл] - Расчет в тек. уровне цен ( индексация  построчно), {выкл} - расчет в базсном уроване цен ( или индексация по итогу сметы)</t>
  </si>
  <si>
    <t>(_ТЕК)      {Вкл.}    - При расчете в текущем (прогнозном) уровне цен , построчная индексация расенок по статьям затрат  {Выкл}   - При расчете в базисном ( 1/01/2000г.) уровне цен, индексация по итогам сметы/объекта</t>
  </si>
  <si>
    <t>АВИА</t>
  </si>
  <si>
    <t>При работах по диспечеризации управления движением авиа/траспортом</t>
  </si>
  <si>
    <t>Для сборников ФЕРм 08;10;11 :    · {АВИА} -  (вкл.)     -  производство монтажных  работы по диспетчеризации управления  движением авиатранспортном (НР=95%, СП=55%) ;    ·            {АВИА} -  (выкл. ) -  при производстве работ на прочих объектах , кроме</t>
  </si>
  <si>
    <t>АЭС</t>
  </si>
  <si>
    <t>При работах на АЭС</t>
  </si>
  <si>
    <t>Для сборника ФЕРм -39  и ФЕРМ-08  ( при работах по контролю сварных соединений) :    {АЭС} - ( вкл.)  -     при выполнении работ по на АЭС  (HР=101%; СП= 68%;             {АЭС} - (выкл.) -  при выполнении работ  на обычных объектах</t>
  </si>
  <si>
    <t>ЖИЛ</t>
  </si>
  <si>
    <t>При работах на жилых и общественных зданиях</t>
  </si>
  <si>
    <t>Для сборников ФЕР , ФЕРр:  · {ЖИЛ} - ( вкл.)  -   при производстве всех видов работ  на объектах  жилищно-гражданского назначения  · {ЖИЛ} - (выкл.) -  при производстве всех видов работ на объектах производственного  назначения</t>
  </si>
  <si>
    <t>ЗАКР</t>
  </si>
  <si>
    <t>Работы в тоннелях закрытым/ открытым способом ( сопутствующие работы )</t>
  </si>
  <si>
    <t>Для сборника ФЕР -29 ( сопутствующие работы в тоннелях и метро. ): ·  {ЗАКР} - (вкл.)     -  при выполнении работ в тоннелях  и метро закрытым способом  (НР=145% , СП=75%); ·                {ЗАКР} - (выкл.) -   при выполнении работ в тоннелях и метро  отк</t>
  </si>
  <si>
    <t>М_ГОР</t>
  </si>
  <si>
    <t>Прокладка городских/междугородных волоконно-оптических сетей связи</t>
  </si>
  <si>
    <t>Для сборников ФЕРм-10  ( волоконно-оптические линии связи ): ·  {М_ГОР} -  ( вкл.)  - междугородные сети связи ( НР=120% , СП=70% )           ·  {М_ГОР} - ( выкл.) - городские сети связи  ( НР=100%; СП=65%)</t>
  </si>
  <si>
    <t>ОКРтек_НР_СП</t>
  </si>
  <si>
    <t>(Вкл) - Итоговые нормы НР и СП округляются до целых, (Выкл) - до 2-х знаков после запятой</t>
  </si>
  <si>
    <t>{ОКРтек_НР_СП} -  (вкл)     -    нормы НР и СП округляются до целых                        ( выкл.) -   нормы НР и СП округляютя до двух знаковов после запятой</t>
  </si>
  <si>
    <t>СЛЖ</t>
  </si>
  <si>
    <t>Коэфф. 1.2 к НР  при работах на сложных объектах</t>
  </si>
  <si>
    <t>Для сборников ФЕР ( при производстве работ на технически сложных объектах ):  ·  { СЛЖ } - (вкл.)    - работа на сложных объектах  (к=1,2 к НР)           ·  { СЛЖ } - (выкл.) - работа на обычных объектах</t>
  </si>
  <si>
    <t>УПРЩ</t>
  </si>
  <si>
    <t>Коэф. = 0,9 к СП ( коэф. = 0,7 к НР при упрощенной системе налогооблажения отменен с 1.01.2011 )</t>
  </si>
  <si>
    <t>Для всех  расценок. (  при применении упрощенной системы налогообложения)  · {УПРЩ} - ( вкл.)    -  при упрощенной системе   ;  к = 0,9 к СП ( к= 0,7 к НР отменен с 1.01.11)  · {УПРЩ} - ( выкл.) -  при  обычной системе налогообложения</t>
  </si>
  <si>
    <t>УПРтек_НР</t>
  </si>
  <si>
    <t>Упрощенное налогобложение:  Коэфф. 0,94  к НР для текущего уровня цен с 01.01.2011 при  упрощенной системе налогообложения</t>
  </si>
  <si>
    <t>Для норм НР с 1.01.2011 года при упрощенном налогообложении: если {УПР} - вкл.  · {УПРтек_НР} = 0.94  -  При упрощенном налогообложении в текущем уровне цен   ·</t>
  </si>
  <si>
    <t>ХОЗ</t>
  </si>
  <si>
    <t>Коэфф. 0,6 к НР при хозяйственном способе работ</t>
  </si>
  <si>
    <t>Для всех  расценок. (  при хозяйственном способе производства работ):  · {ХОЗ} - ( вкл.)    -  при  хоз. способе (к=0,6 к НР )  · {ХОЗ} - ( выкл.) -  при обычном способе производства работ</t>
  </si>
  <si>
    <t>ресурс учтен</t>
  </si>
  <si>
    <t>509-9900</t>
  </si>
  <si>
    <t>ТСНБ-2001 Московская обл распоряжение №51 от 06.09.2011г. 509-9900</t>
  </si>
  <si>
    <t>Строительный мусор</t>
  </si>
  <si>
    <t>т</t>
  </si>
  <si>
    <t>101-9123</t>
  </si>
  <si>
    <t>ТСНБ-2001 Московская обл 101-9123</t>
  </si>
  <si>
    <t>Материалы рулонные кровельные</t>
  </si>
  <si>
    <t>Поправка: МДС 81-35.2004, прил.1, т.3, п.3  Наименование:  Производство ремонтных и других работ на открытых и полуоткрытых производственных площадках в стесненных условиях: с наличием в зоне производства работ действующего технологического оборудования или движения технологического транспорта</t>
  </si>
  <si>
    <t>Поправка: МДС 81-35.2004, п.4.7  Наименование:  Работы, выполняемые при реконструкции зданий и сооружений работы, аналогичные технологическим процессам в новом строительстве (в том числе возведение новых конструктивных элементов) стоимость которых определена по соответствующим сборникам ФЕР, кроме сборника № 46 «Работы при реконструкции зданий и сооружений»  Поправка: МДС 81-35.2004, прил.1, т.3, п.3  Наименование:  Производство ремонтных и других работ на открытых и полуоткрытых производственных площадках в стесненных условиях: с наличием в зоне производства работ действующего технологического оборудования или движения технологического транспорта</t>
  </si>
  <si>
    <t>"СОГЛАСОВАНО"</t>
  </si>
  <si>
    <t>"УТВЕРЖДАЮ"</t>
  </si>
  <si>
    <t>"_____"________________200___ г.</t>
  </si>
  <si>
    <t>(Наименование стройки)</t>
  </si>
  <si>
    <t xml:space="preserve">Номер заказа  </t>
  </si>
  <si>
    <t xml:space="preserve">ЛОКАЛЬНАЯ СМЕТА №  </t>
  </si>
  <si>
    <t xml:space="preserve">  на</t>
  </si>
  <si>
    <t>(наименование работ и затрат, наименование объекта)</t>
  </si>
  <si>
    <t>базовая цена</t>
  </si>
  <si>
    <t>текущая цена</t>
  </si>
  <si>
    <t>Сметная стоимость</t>
  </si>
  <si>
    <t>тыс.руб</t>
  </si>
  <si>
    <t xml:space="preserve">     Строительные работы</t>
  </si>
  <si>
    <t xml:space="preserve">     Монтажные работы</t>
  </si>
  <si>
    <t xml:space="preserve">     Оборудование</t>
  </si>
  <si>
    <t xml:space="preserve">     Прочие работы</t>
  </si>
  <si>
    <t>Нормативная трудоемкость</t>
  </si>
  <si>
    <t>чел.-ч</t>
  </si>
  <si>
    <t>Средства на оплату труда</t>
  </si>
  <si>
    <t>Составлен(а) в ценах Март 2016 г.</t>
  </si>
  <si>
    <t>№</t>
  </si>
  <si>
    <t>п/п</t>
  </si>
  <si>
    <t>Шифр</t>
  </si>
  <si>
    <t>расценки</t>
  </si>
  <si>
    <t>и коды</t>
  </si>
  <si>
    <t>ресурса</t>
  </si>
  <si>
    <t>Наименование работ и затрат</t>
  </si>
  <si>
    <t>Единица</t>
  </si>
  <si>
    <t>изме-</t>
  </si>
  <si>
    <t>рения</t>
  </si>
  <si>
    <t>Кол-во</t>
  </si>
  <si>
    <t>единиц</t>
  </si>
  <si>
    <t>Цена</t>
  </si>
  <si>
    <t>за ед.</t>
  </si>
  <si>
    <t>изм.</t>
  </si>
  <si>
    <t>Руб.</t>
  </si>
  <si>
    <t>Попра-</t>
  </si>
  <si>
    <t>вочные</t>
  </si>
  <si>
    <t>коэффи-</t>
  </si>
  <si>
    <t>циенты</t>
  </si>
  <si>
    <t>Стои-</t>
  </si>
  <si>
    <t>мость</t>
  </si>
  <si>
    <t>в ценах</t>
  </si>
  <si>
    <t>2001 г.</t>
  </si>
  <si>
    <t>Пункт</t>
  </si>
  <si>
    <t>коэфф.</t>
  </si>
  <si>
    <t>пере-</t>
  </si>
  <si>
    <t>счета</t>
  </si>
  <si>
    <t>Коэффи-</t>
  </si>
  <si>
    <t>мость в</t>
  </si>
  <si>
    <t>текущих</t>
  </si>
  <si>
    <t>ценах</t>
  </si>
  <si>
    <t>ЗТР</t>
  </si>
  <si>
    <t>чел.-час</t>
  </si>
  <si>
    <t xml:space="preserve">Локальная смета  </t>
  </si>
  <si>
    <r>
      <t xml:space="preserve">58-16-3
</t>
    </r>
    <r>
      <rPr>
        <i/>
        <sz val="8"/>
        <rFont val="Arial"/>
        <family val="2"/>
      </rPr>
      <t>Поправка: МДС 81-35.2004, прил.1, т.3, п.3</t>
    </r>
  </si>
  <si>
    <t>Зарплата</t>
  </si>
  <si>
    <t>в т.ч. зарплата машинистов</t>
  </si>
  <si>
    <t>Материальные ресурсы</t>
  </si>
  <si>
    <t>Накладные расходы от ФОТ</t>
  </si>
  <si>
    <t>%</t>
  </si>
  <si>
    <t>Затраты труда</t>
  </si>
  <si>
    <t>чел-ч</t>
  </si>
  <si>
    <r>
      <t xml:space="preserve">58-7-2
</t>
    </r>
    <r>
      <rPr>
        <i/>
        <sz val="8"/>
        <rFont val="Arial"/>
        <family val="2"/>
      </rPr>
      <t>Поправка: МДС 81-35.2004, прил.1, т.3, п.3</t>
    </r>
  </si>
  <si>
    <r>
      <t xml:space="preserve">101-1961
</t>
    </r>
    <r>
      <rPr>
        <i/>
        <sz val="8"/>
        <rFont val="Arial"/>
        <family val="2"/>
      </rPr>
      <t>Поправка: МДС 81-35.2004, прил.1, т.3, п.3</t>
    </r>
  </si>
  <si>
    <r>
      <t xml:space="preserve">12-01-004-1
</t>
    </r>
    <r>
      <rPr>
        <i/>
        <sz val="8"/>
        <rFont val="Arial"/>
        <family val="2"/>
      </rPr>
      <t>Поправка: МДС 81-35.2004, п.4.7  Поправка: МДС 81-35.2004, прил.1, т.3, п.3</t>
    </r>
  </si>
  <si>
    <t>Итого</t>
  </si>
  <si>
    <t>Итого по смете</t>
  </si>
  <si>
    <t>Итого по объекту</t>
  </si>
  <si>
    <t>ИСПОЛНИЛ</t>
  </si>
  <si>
    <t>[должность,подпись(инициалы,фамилия)]</t>
  </si>
  <si>
    <t>ПРОВЕРИЛ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</si>
</sst>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* _-#,##0\ &quot;?&quot;;* \-#,##0\ &quot;?&quot;;* _-&quot;-&quot;\ &quot;?&quot;;@"/>
    <numFmt numFmtId="169" formatCode="* #,##0;* \-#,##0;* &quot;-&quot;;@"/>
    <numFmt numFmtId="170" formatCode="* _-#,##0.00\ &quot;?&quot;;* \-#,##0.00\ &quot;?&quot;;* _-&quot;-&quot;??\ &quot;?&quot;;@"/>
    <numFmt numFmtId="171" formatCode="* #,##0.00;* \-#,##0.00;* &quot;-&quot;??;@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#,##0.00;[Red]\-\ #,##0.00"/>
  </numFmts>
  <fonts count="5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color indexed="12"/>
      <name val="Arial"/>
      <family val="0"/>
    </font>
    <font>
      <b/>
      <sz val="10"/>
      <color indexed="16"/>
      <name val="Arial"/>
      <family val="0"/>
    </font>
    <font>
      <b/>
      <sz val="10"/>
      <color indexed="17"/>
      <name val="Arial"/>
      <family val="0"/>
    </font>
    <font>
      <sz val="8"/>
      <name val="Arial"/>
      <family val="2"/>
    </font>
    <font>
      <b/>
      <sz val="11"/>
      <name val="Arial"/>
      <family val="2"/>
    </font>
    <font>
      <sz val="9"/>
      <name val="Times New Roman"/>
      <family val="1"/>
    </font>
    <font>
      <sz val="16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10" xfId="0" applyFont="1" applyBorder="1" applyAlignment="1">
      <alignment horizontal="left"/>
    </xf>
    <xf numFmtId="0" fontId="12" fillId="0" borderId="0" xfId="0" applyFont="1" applyAlignment="1">
      <alignment/>
    </xf>
    <xf numFmtId="0" fontId="0" fillId="0" borderId="0" xfId="0" applyFont="1" applyAlignment="1">
      <alignment horizontal="center"/>
    </xf>
    <xf numFmtId="176" fontId="12" fillId="0" borderId="0" xfId="0" applyNumberFormat="1" applyFont="1" applyAlignment="1">
      <alignment/>
    </xf>
    <xf numFmtId="0" fontId="12" fillId="0" borderId="0" xfId="0" applyFont="1" applyAlignment="1">
      <alignment horizontal="right"/>
    </xf>
    <xf numFmtId="0" fontId="12" fillId="0" borderId="11" xfId="0" applyFont="1" applyBorder="1" applyAlignment="1">
      <alignment/>
    </xf>
    <xf numFmtId="0" fontId="12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3" xfId="0" applyFont="1" applyBorder="1" applyAlignment="1">
      <alignment/>
    </xf>
    <xf numFmtId="0" fontId="12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6" fillId="0" borderId="0" xfId="0" applyFont="1" applyAlignment="1">
      <alignment horizontal="right"/>
    </xf>
    <xf numFmtId="0" fontId="12" fillId="0" borderId="0" xfId="0" applyFont="1" applyAlignment="1">
      <alignment vertical="top" wrapText="1"/>
    </xf>
    <xf numFmtId="0" fontId="12" fillId="0" borderId="0" xfId="0" applyFont="1" applyAlignment="1">
      <alignment horizontal="justify" vertical="top" wrapText="1"/>
    </xf>
    <xf numFmtId="0" fontId="17" fillId="0" borderId="0" xfId="0" applyFont="1" applyAlignment="1">
      <alignment horizontal="right" wrapText="1"/>
    </xf>
    <xf numFmtId="0" fontId="12" fillId="0" borderId="0" xfId="0" applyFont="1" applyAlignment="1">
      <alignment wrapText="1"/>
    </xf>
    <xf numFmtId="176" fontId="0" fillId="0" borderId="0" xfId="0" applyNumberFormat="1" applyAlignment="1">
      <alignment/>
    </xf>
    <xf numFmtId="176" fontId="12" fillId="0" borderId="0" xfId="0" applyNumberFormat="1" applyFont="1" applyAlignment="1">
      <alignment horizontal="right"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 horizontal="right"/>
    </xf>
    <xf numFmtId="0" fontId="12" fillId="0" borderId="10" xfId="0" applyFont="1" applyBorder="1" applyAlignment="1">
      <alignment wrapText="1"/>
    </xf>
    <xf numFmtId="176" fontId="12" fillId="0" borderId="10" xfId="0" applyNumberFormat="1" applyFont="1" applyBorder="1" applyAlignment="1">
      <alignment/>
    </xf>
    <xf numFmtId="176" fontId="15" fillId="0" borderId="0" xfId="0" applyNumberFormat="1" applyFont="1" applyAlignment="1">
      <alignment/>
    </xf>
    <xf numFmtId="0" fontId="15" fillId="0" borderId="0" xfId="0" applyFont="1" applyAlignment="1">
      <alignment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justify" vertical="top" wrapText="1"/>
    </xf>
    <xf numFmtId="0" fontId="17" fillId="0" borderId="10" xfId="0" applyFont="1" applyBorder="1" applyAlignment="1">
      <alignment horizontal="right" wrapText="1"/>
    </xf>
    <xf numFmtId="2" fontId="12" fillId="0" borderId="10" xfId="0" applyNumberFormat="1" applyFont="1" applyBorder="1" applyAlignment="1">
      <alignment/>
    </xf>
    <xf numFmtId="0" fontId="16" fillId="0" borderId="0" xfId="0" applyFont="1" applyAlignment="1">
      <alignment/>
    </xf>
    <xf numFmtId="176" fontId="16" fillId="0" borderId="0" xfId="0" applyNumberFormat="1" applyFont="1" applyAlignment="1">
      <alignment/>
    </xf>
    <xf numFmtId="0" fontId="11" fillId="0" borderId="0" xfId="0" applyFont="1" applyAlignment="1">
      <alignment/>
    </xf>
    <xf numFmtId="0" fontId="0" fillId="0" borderId="10" xfId="0" applyFont="1" applyBorder="1" applyAlignment="1">
      <alignment/>
    </xf>
    <xf numFmtId="176" fontId="16" fillId="0" borderId="0" xfId="0" applyNumberFormat="1" applyFont="1" applyAlignment="1">
      <alignment horizontal="right"/>
    </xf>
    <xf numFmtId="0" fontId="7" fillId="0" borderId="17" xfId="0" applyFont="1" applyBorder="1" applyAlignment="1">
      <alignment horizontal="center"/>
    </xf>
    <xf numFmtId="0" fontId="16" fillId="0" borderId="0" xfId="0" applyFont="1" applyAlignment="1">
      <alignment horizontal="left" wrapText="1"/>
    </xf>
    <xf numFmtId="0" fontId="11" fillId="0" borderId="0" xfId="0" applyFont="1" applyAlignment="1">
      <alignment horizontal="left" wrapText="1"/>
    </xf>
    <xf numFmtId="176" fontId="11" fillId="0" borderId="0" xfId="0" applyNumberFormat="1" applyFont="1" applyAlignment="1">
      <alignment horizontal="right"/>
    </xf>
    <xf numFmtId="0" fontId="11" fillId="0" borderId="0" xfId="0" applyFont="1" applyAlignment="1">
      <alignment horizontal="right"/>
    </xf>
    <xf numFmtId="0" fontId="0" fillId="0" borderId="0" xfId="0" applyFont="1" applyAlignment="1">
      <alignment/>
    </xf>
    <xf numFmtId="0" fontId="16" fillId="0" borderId="17" xfId="0" applyFont="1" applyBorder="1" applyAlignment="1">
      <alignment horizontal="left" wrapText="1"/>
    </xf>
    <xf numFmtId="0" fontId="0" fillId="0" borderId="17" xfId="0" applyBorder="1" applyAlignment="1">
      <alignment horizontal="left" wrapText="1"/>
    </xf>
    <xf numFmtId="176" fontId="15" fillId="0" borderId="0" xfId="0" applyNumberFormat="1" applyFont="1" applyAlignment="1">
      <alignment horizontal="right"/>
    </xf>
    <xf numFmtId="0" fontId="15" fillId="0" borderId="0" xfId="0" applyFont="1" applyAlignment="1">
      <alignment horizontal="right"/>
    </xf>
    <xf numFmtId="176" fontId="12" fillId="0" borderId="0" xfId="0" applyNumberFormat="1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14" fillId="0" borderId="10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12" fillId="0" borderId="0" xfId="0" applyFont="1" applyAlignment="1">
      <alignment horizontal="left" wrapText="1"/>
    </xf>
    <xf numFmtId="0" fontId="0" fillId="0" borderId="0" xfId="0" applyFont="1" applyAlignment="1">
      <alignment horizontal="center"/>
    </xf>
    <xf numFmtId="0" fontId="10" fillId="0" borderId="10" xfId="0" applyFont="1" applyBorder="1" applyAlignment="1">
      <alignment horizontal="center" wrapText="1"/>
    </xf>
    <xf numFmtId="0" fontId="11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left" wrapText="1"/>
    </xf>
    <xf numFmtId="0" fontId="13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91"/>
  <sheetViews>
    <sheetView tabSelected="1" zoomScalePageLayoutView="0" workbookViewId="0" topLeftCell="A1">
      <selection activeCell="B43" sqref="B43"/>
    </sheetView>
  </sheetViews>
  <sheetFormatPr defaultColWidth="9.140625" defaultRowHeight="12.75"/>
  <cols>
    <col min="1" max="1" width="5.7109375" style="0" customWidth="1"/>
    <col min="2" max="2" width="12.140625" style="0" customWidth="1"/>
    <col min="3" max="3" width="34.7109375" style="0" customWidth="1"/>
    <col min="4" max="4" width="10.7109375" style="0" customWidth="1"/>
    <col min="6" max="6" width="10.140625" style="0" bestFit="1" customWidth="1"/>
    <col min="7" max="7" width="11.28125" style="0" customWidth="1"/>
    <col min="8" max="8" width="10.140625" style="0" bestFit="1" customWidth="1"/>
    <col min="10" max="10" width="10.140625" style="0" customWidth="1"/>
    <col min="11" max="11" width="13.7109375" style="0" customWidth="1"/>
    <col min="12" max="12" width="10.7109375" style="0" customWidth="1"/>
    <col min="13" max="25" width="0" style="0" hidden="1" customWidth="1"/>
  </cols>
  <sheetData>
    <row r="1" s="5" customFormat="1" ht="11.25"/>
    <row r="3" spans="1:9" s="6" customFormat="1" ht="15">
      <c r="A3" s="6" t="s">
        <v>137</v>
      </c>
      <c r="F3" s="66" t="s">
        <v>138</v>
      </c>
      <c r="G3" s="66"/>
      <c r="H3" s="66"/>
      <c r="I3" s="66"/>
    </row>
    <row r="5" spans="1:11" ht="12.75">
      <c r="A5" s="67">
        <f>Source!AS11</f>
      </c>
      <c r="B5" s="67"/>
      <c r="C5" s="67">
        <f>Source!CH11</f>
      </c>
      <c r="D5" s="67"/>
      <c r="E5" s="7"/>
      <c r="F5" s="67">
        <f>Source!AR11</f>
      </c>
      <c r="G5" s="67"/>
      <c r="H5" s="67"/>
      <c r="I5" s="67">
        <f>Source!CG11</f>
      </c>
      <c r="J5" s="67"/>
      <c r="K5" s="67"/>
    </row>
    <row r="6" spans="1:11" ht="12.75">
      <c r="A6" s="7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2.75">
      <c r="A7" s="8"/>
      <c r="B7" s="8"/>
      <c r="C7" s="67">
        <f>Source!M11</f>
      </c>
      <c r="D7" s="67"/>
      <c r="E7" s="7"/>
      <c r="F7" s="8"/>
      <c r="G7" s="8"/>
      <c r="H7" s="67">
        <f>Source!L11</f>
      </c>
      <c r="I7" s="67"/>
      <c r="J7" s="67"/>
      <c r="K7" s="67"/>
    </row>
    <row r="8" spans="1:11" ht="12.75">
      <c r="A8" s="7"/>
      <c r="B8" s="7"/>
      <c r="C8" s="7"/>
      <c r="D8" s="7"/>
      <c r="E8" s="7"/>
      <c r="F8" s="7"/>
      <c r="G8" s="7"/>
      <c r="H8" s="7"/>
      <c r="I8" s="7"/>
      <c r="J8" s="7"/>
      <c r="K8" s="7"/>
    </row>
    <row r="9" spans="1:6" s="6" customFormat="1" ht="15">
      <c r="A9" s="6" t="s">
        <v>139</v>
      </c>
      <c r="F9" s="6" t="s">
        <v>139</v>
      </c>
    </row>
    <row r="11" spans="1:12" ht="20.25">
      <c r="A11" s="61" t="str">
        <f>IF(Source!G3&lt;&gt;"",Source!G3,IF(Source!F3&lt;&gt;"",Source!F3,IF(Source!G4&lt;&gt;"",Source!G4,IF(Source!F4&lt;&gt;"",Source!F4,IF(Source!G5&lt;&gt;"",Source!G5,IF(Source!F5&lt;&gt;"",Source!F5," "))))))</f>
        <v> 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</row>
    <row r="12" spans="1:12" ht="12.75">
      <c r="A12" s="57" t="s">
        <v>140</v>
      </c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</row>
    <row r="14" spans="7:12" ht="15.75">
      <c r="G14" s="62" t="s">
        <v>141</v>
      </c>
      <c r="H14" s="63"/>
      <c r="I14" s="59"/>
      <c r="J14" s="64"/>
      <c r="K14" s="64"/>
      <c r="L14" s="64"/>
    </row>
    <row r="16" spans="1:12" ht="20.25">
      <c r="A16" s="65" t="s">
        <v>142</v>
      </c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</row>
    <row r="19" spans="1:12" ht="18.75" customHeight="1">
      <c r="A19" s="4" t="s">
        <v>143</v>
      </c>
      <c r="B19" s="56" t="s">
        <v>10</v>
      </c>
      <c r="C19" s="56"/>
      <c r="D19" s="56"/>
      <c r="E19" s="56"/>
      <c r="F19" s="56"/>
      <c r="G19" s="56"/>
      <c r="H19" s="56"/>
      <c r="I19" s="56"/>
      <c r="J19" s="56"/>
      <c r="K19" s="56"/>
      <c r="L19" s="56"/>
    </row>
    <row r="20" spans="2:12" ht="12.75">
      <c r="B20" s="57" t="s">
        <v>144</v>
      </c>
      <c r="C20" s="58"/>
      <c r="D20" s="58"/>
      <c r="E20" s="58"/>
      <c r="F20" s="58"/>
      <c r="G20" s="58"/>
      <c r="H20" s="58"/>
      <c r="I20" s="58"/>
      <c r="J20" s="58"/>
      <c r="K20" s="58"/>
      <c r="L20" s="58"/>
    </row>
    <row r="22" spans="1:12" ht="15">
      <c r="A22" s="59" t="str">
        <f>CONCATENATE("Основание: ",Source!J11)</f>
        <v>Основание: 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</row>
    <row r="24" spans="5:10" ht="12.75">
      <c r="E24" s="4"/>
      <c r="F24" s="4"/>
      <c r="G24" s="4"/>
      <c r="H24" s="4"/>
      <c r="I24" s="4"/>
      <c r="J24" s="4"/>
    </row>
    <row r="25" spans="5:10" ht="12.75">
      <c r="E25" s="10"/>
      <c r="F25" s="10"/>
      <c r="G25" s="60" t="s">
        <v>145</v>
      </c>
      <c r="H25" s="60"/>
      <c r="I25" s="60" t="s">
        <v>146</v>
      </c>
      <c r="J25" s="60"/>
    </row>
    <row r="26" spans="3:12" ht="15.75">
      <c r="C26" s="52" t="s">
        <v>147</v>
      </c>
      <c r="D26" s="52"/>
      <c r="E26" s="52"/>
      <c r="F26" s="52"/>
      <c r="G26" s="53">
        <f>G82/1000</f>
        <v>3.30377791575</v>
      </c>
      <c r="H26" s="53"/>
      <c r="I26" s="53">
        <f>(Source!O44+Source!X44+Source!Y44)/1000+(Source!O44+Source!X44+Source!Y44)/1000*0.18</f>
        <v>30.0000014</v>
      </c>
      <c r="J26" s="53"/>
      <c r="K26" s="54" t="s">
        <v>148</v>
      </c>
      <c r="L26" s="54"/>
    </row>
    <row r="27" spans="3:12" ht="15" hidden="1">
      <c r="C27" s="55" t="s">
        <v>149</v>
      </c>
      <c r="D27" s="55"/>
      <c r="E27" s="55"/>
      <c r="F27" s="55"/>
      <c r="G27" s="53">
        <f>O82/1000</f>
        <v>3.30377039412125</v>
      </c>
      <c r="H27" s="53"/>
      <c r="I27" s="53">
        <f>S82/1000</f>
        <v>25.423729999999995</v>
      </c>
      <c r="J27" s="53"/>
      <c r="K27" s="54" t="s">
        <v>148</v>
      </c>
      <c r="L27" s="54"/>
    </row>
    <row r="28" spans="3:12" ht="15" hidden="1">
      <c r="C28" s="55" t="s">
        <v>150</v>
      </c>
      <c r="D28" s="55"/>
      <c r="E28" s="55"/>
      <c r="F28" s="55"/>
      <c r="G28" s="53">
        <f>P82/1000</f>
        <v>0</v>
      </c>
      <c r="H28" s="53"/>
      <c r="I28" s="53">
        <f>T82/1000</f>
        <v>0</v>
      </c>
      <c r="J28" s="53"/>
      <c r="K28" s="54" t="s">
        <v>148</v>
      </c>
      <c r="L28" s="54"/>
    </row>
    <row r="29" spans="3:12" ht="15" hidden="1">
      <c r="C29" s="55" t="s">
        <v>151</v>
      </c>
      <c r="D29" s="55"/>
      <c r="E29" s="55"/>
      <c r="F29" s="55"/>
      <c r="G29" s="53">
        <f>Q82/1000</f>
        <v>0</v>
      </c>
      <c r="H29" s="53"/>
      <c r="I29" s="53">
        <f>U82/1000</f>
        <v>0</v>
      </c>
      <c r="J29" s="53"/>
      <c r="K29" s="54" t="s">
        <v>148</v>
      </c>
      <c r="L29" s="54"/>
    </row>
    <row r="30" spans="3:12" ht="15" hidden="1">
      <c r="C30" s="55" t="s">
        <v>152</v>
      </c>
      <c r="D30" s="55"/>
      <c r="E30" s="55"/>
      <c r="F30" s="55"/>
      <c r="G30" s="53">
        <f>R82/1000</f>
        <v>0</v>
      </c>
      <c r="H30" s="53"/>
      <c r="I30" s="53">
        <f>V82/1000</f>
        <v>0</v>
      </c>
      <c r="J30" s="53"/>
      <c r="K30" s="54" t="s">
        <v>148</v>
      </c>
      <c r="L30" s="54"/>
    </row>
    <row r="31" spans="3:12" ht="15.75">
      <c r="C31" s="52" t="s">
        <v>153</v>
      </c>
      <c r="D31" s="52"/>
      <c r="E31" s="52"/>
      <c r="F31" s="52"/>
      <c r="G31" s="53">
        <f>(Source!F54)</f>
        <v>28.77</v>
      </c>
      <c r="H31" s="53"/>
      <c r="I31" s="53">
        <f>(Source!F54)</f>
        <v>28.77</v>
      </c>
      <c r="J31" s="53"/>
      <c r="K31" s="54" t="s">
        <v>154</v>
      </c>
      <c r="L31" s="54"/>
    </row>
    <row r="32" spans="3:12" ht="15.75">
      <c r="C32" s="52" t="s">
        <v>155</v>
      </c>
      <c r="D32" s="52"/>
      <c r="E32" s="52"/>
      <c r="F32" s="52"/>
      <c r="G32" s="53">
        <f>(N82+W82)/1000</f>
        <v>0.2585839745</v>
      </c>
      <c r="H32" s="53"/>
      <c r="I32" s="53">
        <f>((Source!F52+Source!F51)/1000)</f>
        <v>5.8181400000000005</v>
      </c>
      <c r="J32" s="53"/>
      <c r="K32" s="54" t="s">
        <v>148</v>
      </c>
      <c r="L32" s="54"/>
    </row>
    <row r="34" spans="1:6" ht="12.75">
      <c r="A34" s="48" t="s">
        <v>156</v>
      </c>
      <c r="B34" s="48"/>
      <c r="C34" s="48"/>
      <c r="D34" s="4"/>
      <c r="E34" s="4"/>
      <c r="F34" s="4"/>
    </row>
    <row r="35" spans="1:12" ht="15">
      <c r="A35" s="13"/>
      <c r="B35" s="13"/>
      <c r="C35" s="13"/>
      <c r="D35" s="13"/>
      <c r="E35" s="13"/>
      <c r="F35" s="14" t="s">
        <v>169</v>
      </c>
      <c r="G35" s="14" t="s">
        <v>173</v>
      </c>
      <c r="H35" s="14" t="s">
        <v>177</v>
      </c>
      <c r="I35" s="14" t="s">
        <v>181</v>
      </c>
      <c r="J35" s="14" t="s">
        <v>185</v>
      </c>
      <c r="K35" s="14" t="s">
        <v>177</v>
      </c>
      <c r="L35" s="15" t="s">
        <v>189</v>
      </c>
    </row>
    <row r="36" spans="1:12" ht="15">
      <c r="A36" s="16" t="s">
        <v>157</v>
      </c>
      <c r="B36" s="16" t="s">
        <v>159</v>
      </c>
      <c r="C36" s="17"/>
      <c r="D36" s="16" t="s">
        <v>164</v>
      </c>
      <c r="E36" s="16" t="s">
        <v>167</v>
      </c>
      <c r="F36" s="16" t="s">
        <v>170</v>
      </c>
      <c r="G36" s="16" t="s">
        <v>174</v>
      </c>
      <c r="H36" s="16" t="s">
        <v>178</v>
      </c>
      <c r="I36" s="16" t="s">
        <v>182</v>
      </c>
      <c r="J36" s="16" t="s">
        <v>176</v>
      </c>
      <c r="K36" s="16" t="s">
        <v>186</v>
      </c>
      <c r="L36" s="18" t="s">
        <v>76</v>
      </c>
    </row>
    <row r="37" spans="1:12" ht="15">
      <c r="A37" s="16" t="s">
        <v>158</v>
      </c>
      <c r="B37" s="16" t="s">
        <v>160</v>
      </c>
      <c r="C37" s="16" t="s">
        <v>163</v>
      </c>
      <c r="D37" s="16" t="s">
        <v>165</v>
      </c>
      <c r="E37" s="16" t="s">
        <v>168</v>
      </c>
      <c r="F37" s="16" t="s">
        <v>171</v>
      </c>
      <c r="G37" s="16" t="s">
        <v>175</v>
      </c>
      <c r="H37" s="16" t="s">
        <v>179</v>
      </c>
      <c r="I37" s="16" t="s">
        <v>183</v>
      </c>
      <c r="J37" s="16" t="s">
        <v>183</v>
      </c>
      <c r="K37" s="16" t="s">
        <v>187</v>
      </c>
      <c r="L37" s="18" t="s">
        <v>190</v>
      </c>
    </row>
    <row r="38" spans="1:12" ht="15">
      <c r="A38" s="17"/>
      <c r="B38" s="16" t="s">
        <v>161</v>
      </c>
      <c r="C38" s="17"/>
      <c r="D38" s="16" t="s">
        <v>166</v>
      </c>
      <c r="E38" s="17"/>
      <c r="F38" s="16" t="s">
        <v>172</v>
      </c>
      <c r="G38" s="16" t="s">
        <v>176</v>
      </c>
      <c r="H38" s="16" t="s">
        <v>180</v>
      </c>
      <c r="I38" s="16" t="s">
        <v>184</v>
      </c>
      <c r="J38" s="16" t="s">
        <v>184</v>
      </c>
      <c r="K38" s="16" t="s">
        <v>188</v>
      </c>
      <c r="L38" s="18"/>
    </row>
    <row r="39" spans="1:12" ht="15">
      <c r="A39" s="17"/>
      <c r="B39" s="16" t="s">
        <v>162</v>
      </c>
      <c r="C39" s="17"/>
      <c r="D39" s="17"/>
      <c r="E39" s="17"/>
      <c r="F39" s="17"/>
      <c r="G39" s="16"/>
      <c r="H39" s="16"/>
      <c r="I39" s="16"/>
      <c r="J39" s="16"/>
      <c r="K39" s="16"/>
      <c r="L39" s="18"/>
    </row>
    <row r="40" spans="1:12" ht="15">
      <c r="A40" s="19">
        <v>1</v>
      </c>
      <c r="B40" s="19">
        <v>2</v>
      </c>
      <c r="C40" s="19">
        <v>3</v>
      </c>
      <c r="D40" s="19">
        <v>4</v>
      </c>
      <c r="E40" s="19">
        <v>5</v>
      </c>
      <c r="F40" s="19">
        <v>6</v>
      </c>
      <c r="G40" s="19">
        <v>7</v>
      </c>
      <c r="H40" s="19">
        <v>8</v>
      </c>
      <c r="I40" s="19">
        <v>9</v>
      </c>
      <c r="J40" s="19">
        <v>10</v>
      </c>
      <c r="K40" s="19">
        <v>11</v>
      </c>
      <c r="L40" s="20">
        <v>12</v>
      </c>
    </row>
    <row r="41" spans="3:11" ht="18" hidden="1">
      <c r="C41" s="21" t="s">
        <v>191</v>
      </c>
      <c r="D41" s="49" t="str">
        <f>IF(Source!C11="1",Source!F19,Source!G19)</f>
        <v>ремонт кровли</v>
      </c>
      <c r="E41" s="50"/>
      <c r="F41" s="50"/>
      <c r="G41" s="50"/>
      <c r="H41" s="50"/>
      <c r="I41" s="50"/>
      <c r="J41" s="50"/>
      <c r="K41" s="50"/>
    </row>
    <row r="43" spans="1:12" ht="71.25">
      <c r="A43" s="22" t="str">
        <f>Source!E23</f>
        <v>1</v>
      </c>
      <c r="B43" s="22" t="s">
        <v>192</v>
      </c>
      <c r="C43" s="23" t="str">
        <f>Source!G23</f>
        <v>Ремонт цементной стяжки площадью заделки: до 1,0 м2</v>
      </c>
      <c r="D43" s="24" t="str">
        <f>Source!H23</f>
        <v>100 шт.</v>
      </c>
      <c r="E43" s="9">
        <f>ROUND(Source!I23,6)</f>
        <v>0.1</v>
      </c>
      <c r="F43" s="11">
        <f>IF(Source!AK23&lt;&gt;0,Source!AK23,Source!AL23+Source!AM23+Source!AO23)</f>
        <v>2341.86</v>
      </c>
      <c r="G43" s="9"/>
      <c r="H43" s="9"/>
      <c r="I43" s="25" t="str">
        <f>IF(Source!BO23&lt;&gt;"",Source!BO23,"")</f>
        <v>58-16-3</v>
      </c>
      <c r="J43" s="9"/>
      <c r="K43" s="9"/>
      <c r="L43" s="9"/>
    </row>
    <row r="44" spans="1:12" ht="15">
      <c r="A44" s="9"/>
      <c r="B44" s="9"/>
      <c r="C44" s="9" t="s">
        <v>193</v>
      </c>
      <c r="D44" s="9"/>
      <c r="E44" s="9"/>
      <c r="F44" s="11">
        <f>Source!AO23</f>
        <v>1150.91</v>
      </c>
      <c r="G44" s="25" t="str">
        <f>Source!DG23</f>
        <v>)*1,15</v>
      </c>
      <c r="H44" s="11">
        <f>(Source!CT23/IF(Source!BA23&lt;&gt;0,Source!BA23,1)*Source!I23)</f>
        <v>132.35465</v>
      </c>
      <c r="I44" s="9"/>
      <c r="J44" s="9">
        <f>Source!BA23</f>
        <v>22.5</v>
      </c>
      <c r="K44" s="11">
        <f>Source!S23</f>
        <v>2977.98</v>
      </c>
      <c r="L44" s="9"/>
    </row>
    <row r="45" spans="1:12" ht="15">
      <c r="A45" s="9"/>
      <c r="B45" s="9"/>
      <c r="C45" s="9" t="s">
        <v>59</v>
      </c>
      <c r="D45" s="9"/>
      <c r="E45" s="9"/>
      <c r="F45" s="11">
        <f>Source!AM23</f>
        <v>69.93</v>
      </c>
      <c r="G45" s="25" t="str">
        <f>Source!DE23</f>
        <v>)*1,15</v>
      </c>
      <c r="H45" s="11">
        <f>(Source!CR23/IF(Source!BB23&lt;&gt;0,Source!BB23,1)*Source!I23)</f>
        <v>8.04195</v>
      </c>
      <c r="I45" s="9"/>
      <c r="J45" s="9">
        <f>Source!BB23</f>
        <v>12.2</v>
      </c>
      <c r="K45" s="11">
        <f>Source!Q23</f>
        <v>98.11</v>
      </c>
      <c r="L45" s="9"/>
    </row>
    <row r="46" spans="1:12" ht="15">
      <c r="A46" s="9"/>
      <c r="B46" s="9"/>
      <c r="C46" s="9" t="s">
        <v>194</v>
      </c>
      <c r="D46" s="9"/>
      <c r="E46" s="9"/>
      <c r="F46" s="11">
        <f>Source!AN23</f>
        <v>13.88</v>
      </c>
      <c r="G46" s="25" t="str">
        <f>Source!DF23</f>
        <v>)*1,15</v>
      </c>
      <c r="H46" s="27">
        <f>(Source!CS23/IF(Source!BS23&lt;&gt;0,Source!BS23,1)*Source!I23)</f>
        <v>1.5962</v>
      </c>
      <c r="I46" s="9"/>
      <c r="J46" s="9">
        <f>Source!BS23</f>
        <v>22.5</v>
      </c>
      <c r="K46" s="27">
        <f>Source!R23</f>
        <v>35.91</v>
      </c>
      <c r="L46" s="9"/>
    </row>
    <row r="47" spans="1:12" ht="15">
      <c r="A47" s="9"/>
      <c r="B47" s="9"/>
      <c r="C47" s="9" t="s">
        <v>195</v>
      </c>
      <c r="D47" s="9"/>
      <c r="E47" s="9"/>
      <c r="F47" s="11">
        <f>Source!AL23</f>
        <v>1121.02</v>
      </c>
      <c r="G47" s="25">
        <f>Source!DD23</f>
      </c>
      <c r="H47" s="11">
        <f>(Source!CQ23/IF(Source!BC23&lt;&gt;0,Source!BC23,1)*Source!I23)</f>
        <v>112.102</v>
      </c>
      <c r="I47" s="9"/>
      <c r="J47" s="9">
        <f>Source!BC23</f>
        <v>5.9</v>
      </c>
      <c r="K47" s="11">
        <f>Source!P23</f>
        <v>661.4</v>
      </c>
      <c r="L47" s="9"/>
    </row>
    <row r="48" spans="1:24" ht="15">
      <c r="A48" s="9"/>
      <c r="B48" s="9"/>
      <c r="C48" s="9" t="s">
        <v>196</v>
      </c>
      <c r="D48" s="12" t="s">
        <v>197</v>
      </c>
      <c r="E48" s="9"/>
      <c r="F48" s="11">
        <f>Source!BZ23</f>
        <v>83</v>
      </c>
      <c r="G48" s="9"/>
      <c r="H48" s="11">
        <f>X48</f>
        <v>111.18</v>
      </c>
      <c r="I48" s="9"/>
      <c r="J48" s="11">
        <f>Source!AT23</f>
        <v>83</v>
      </c>
      <c r="K48" s="11">
        <f>Source!X23</f>
        <v>2501.46</v>
      </c>
      <c r="L48" s="9"/>
      <c r="X48">
        <f>ROUND((Source!FX23/100)*(((Source!CT23/IF(Source!BA23&lt;&gt;0,Source!BA23,1)*Source!I23))+((Source!CS23/IF(Source!BS23&lt;&gt;0,Source!BS23,1)*Source!I23))),2)</f>
        <v>111.18</v>
      </c>
    </row>
    <row r="49" spans="1:25" ht="15">
      <c r="A49" s="9"/>
      <c r="B49" s="9"/>
      <c r="C49" s="9" t="s">
        <v>75</v>
      </c>
      <c r="D49" s="12" t="s">
        <v>197</v>
      </c>
      <c r="E49" s="9"/>
      <c r="F49" s="11">
        <f>Source!CA23</f>
        <v>65</v>
      </c>
      <c r="G49" s="9"/>
      <c r="H49" s="11">
        <f>Y49</f>
        <v>87.07</v>
      </c>
      <c r="I49" s="9"/>
      <c r="J49" s="11">
        <f>Source!AU23</f>
        <v>65</v>
      </c>
      <c r="K49" s="11">
        <f>Source!Y23</f>
        <v>1959.03</v>
      </c>
      <c r="L49" s="9"/>
      <c r="Y49">
        <f>ROUND((Source!FY23/100)*(((Source!CT23/IF(Source!BA23&lt;&gt;0,Source!BA23,1)*Source!I23))+((Source!CS23/IF(Source!BS23&lt;&gt;0,Source!BS23,1)*Source!I23))),2)</f>
        <v>87.07</v>
      </c>
    </row>
    <row r="50" spans="1:12" ht="15">
      <c r="A50" s="28"/>
      <c r="B50" s="28"/>
      <c r="C50" s="28" t="s">
        <v>198</v>
      </c>
      <c r="D50" s="29" t="s">
        <v>199</v>
      </c>
      <c r="E50" s="28">
        <f>Source!AQ23</f>
        <v>129.9</v>
      </c>
      <c r="F50" s="28"/>
      <c r="G50" s="30" t="str">
        <f>Source!DI23</f>
        <v>)*1,15</v>
      </c>
      <c r="H50" s="28"/>
      <c r="I50" s="28"/>
      <c r="J50" s="28"/>
      <c r="K50" s="28"/>
      <c r="L50" s="31">
        <f>Source!U23</f>
        <v>14.9385</v>
      </c>
    </row>
    <row r="51" spans="1:23" ht="15.75">
      <c r="A51" s="9"/>
      <c r="B51" s="9"/>
      <c r="C51" s="9"/>
      <c r="D51" s="9"/>
      <c r="E51" s="9"/>
      <c r="F51" s="9"/>
      <c r="G51" s="9"/>
      <c r="H51" s="32">
        <f>(Source!CT23/IF(Source!BA23&lt;&gt;0,Source!BA23,1)*Source!I23)+(Source!CR23/IF(Source!BB23&lt;&gt;0,Source!BB23,1)*Source!I23)+H47+H48+H49</f>
        <v>450.74859999999995</v>
      </c>
      <c r="I51" s="33"/>
      <c r="J51" s="33"/>
      <c r="K51" s="32">
        <f>Source!S23+Source!Q23+K47+K48+K49</f>
        <v>8197.980000000001</v>
      </c>
      <c r="L51" s="32">
        <f>Source!U23</f>
        <v>14.9385</v>
      </c>
      <c r="M51" s="26">
        <f>H51</f>
        <v>450.74859999999995</v>
      </c>
      <c r="N51">
        <f>(Source!CT23/IF(Source!BA23&lt;&gt;0,Source!BA23,1)*Source!I23)</f>
        <v>132.35465</v>
      </c>
      <c r="O51">
        <f>IF(Source!BI23=1,((((Source!CT23/IF(Source!BA23&lt;&gt;0,Source!BA23,1)*Source!I23)+(Source!CR23/IF(Source!BB23&lt;&gt;0,Source!BB23,1)*Source!I23)+(Source!CQ23/IF(Source!BC23&lt;&gt;0,Source!BC23,1)*Source!I23))+((Source!FX23/100)*((Source!CT23/IF(Source!BA23&lt;&gt;0,Source!BA23,1)*Source!I23)+(Source!CS23/IF(Source!BS23&lt;&gt;0,Source!BS23,1)*Source!I23)))+((Source!FY23/100)*((Source!CT23/IF(Source!BA23&lt;&gt;0,Source!BA23,1)*Source!I23)+(Source!CS23/IF(Source!BS23&lt;&gt;0,Source!BS23,1)*Source!I23))))),0)</f>
        <v>450.745858</v>
      </c>
      <c r="P51">
        <f>IF(Source!BI23=2,((((Source!CT23/IF(Source!BA23&lt;&gt;0,Source!BA23,1)*Source!I23)+(Source!CR23/IF(Source!BB23&lt;&gt;0,Source!BB23,1)*Source!I23)+(Source!CQ23/IF(Source!BC23&lt;&gt;0,Source!BC23,1)*Source!I23))+((Source!FX23/100)*((Source!CT23/IF(Source!BA23&lt;&gt;0,Source!BA23,1)*Source!I23)+(Source!CS23/IF(Source!BS23&lt;&gt;0,Source!BS23,1)*Source!I23)))+((Source!FY23/100)*((Source!CT23/IF(Source!BA23&lt;&gt;0,Source!BA23,1)*Source!I23)+(Source!CS23/IF(Source!BS23&lt;&gt;0,Source!BS23,1)*Source!I23))))),0)</f>
        <v>0</v>
      </c>
      <c r="Q51">
        <f>IF(Source!BI23=3,((((Source!CT23/IF(Source!BA23&lt;&gt;0,Source!BA23,1)*Source!I23)+(Source!CR23/IF(Source!BB23&lt;&gt;0,Source!BB23,1)*Source!I23)+(Source!CQ23/IF(Source!BC23&lt;&gt;0,Source!BC23,1)*Source!I23))+((Source!FX23/100)*((Source!CT23/IF(Source!BA23&lt;&gt;0,Source!BA23,1)*Source!I23)+(Source!CS23/IF(Source!BS23&lt;&gt;0,Source!BS23,1)*Source!I23)))+((Source!FY23/100)*((Source!CT23/IF(Source!BA23&lt;&gt;0,Source!BA23,1)*Source!I23)+(Source!CS23/IF(Source!BS23&lt;&gt;0,Source!BS23,1)*Source!I23))))),0)</f>
        <v>0</v>
      </c>
      <c r="R51">
        <f>IF(Source!BI23=4,((((Source!CT23/IF(Source!BA23&lt;&gt;0,Source!BA23,1)*Source!I23)+(Source!CR23/IF(Source!BB23&lt;&gt;0,Source!BB23,1)*Source!I23)+(Source!CQ23/IF(Source!BC23&lt;&gt;0,Source!BC23,1)*Source!I23))+((Source!FX23/100)*((Source!CT23/IF(Source!BA23&lt;&gt;0,Source!BA23,1)*Source!I23)+(Source!CS23/IF(Source!BS23&lt;&gt;0,Source!BS23,1)*Source!I23)))+((Source!FY23/100)*((Source!CT23/IF(Source!BA23&lt;&gt;0,Source!BA23,1)*Source!I23)+(Source!CS23/IF(Source!BS23&lt;&gt;0,Source!BS23,1)*Source!I23))))),0)</f>
        <v>0</v>
      </c>
      <c r="S51">
        <f>IF(Source!BI23=1,Source!O23+Source!X23+Source!Y23,0)</f>
        <v>8197.98</v>
      </c>
      <c r="T51">
        <f>IF(Source!BI23=2,Source!O23+Source!X23+Source!Y23,0)</f>
        <v>0</v>
      </c>
      <c r="U51">
        <f>IF(Source!BI23=3,Source!O23+Source!X23+Source!Y23,0)</f>
        <v>0</v>
      </c>
      <c r="V51">
        <f>IF(Source!BI23=4,Source!O23+Source!X23+Source!Y23,0)</f>
        <v>0</v>
      </c>
      <c r="W51">
        <f>(Source!CS23/IF(Source!BS23&lt;&gt;0,Source!BS23,1)*Source!I23)</f>
        <v>1.5962</v>
      </c>
    </row>
    <row r="52" spans="1:12" ht="71.25">
      <c r="A52" s="22" t="str">
        <f>Source!E24</f>
        <v>2</v>
      </c>
      <c r="B52" s="22" t="s">
        <v>200</v>
      </c>
      <c r="C52" s="23" t="str">
        <f>Source!G24</f>
        <v>Ремонт отдельными местами рулонного покрытия с промазкой: битумными составами с заменой 2 слоев</v>
      </c>
      <c r="D52" s="24" t="str">
        <f>Source!H24</f>
        <v>100 м2</v>
      </c>
      <c r="E52" s="9">
        <f>ROUND(Source!I24,6)</f>
        <v>0.17</v>
      </c>
      <c r="F52" s="11">
        <f>IF(Source!AK24&lt;&gt;0,Source!AK24,Source!AL24+Source!AM24+Source!AO24)</f>
        <v>2377.2999999999997</v>
      </c>
      <c r="G52" s="9"/>
      <c r="H52" s="9"/>
      <c r="I52" s="25" t="str">
        <f>IF(Source!BO24&lt;&gt;"",Source!BO24,"")</f>
        <v>58-7-2</v>
      </c>
      <c r="J52" s="9"/>
      <c r="K52" s="9"/>
      <c r="L52" s="9"/>
    </row>
    <row r="53" spans="1:12" ht="15">
      <c r="A53" s="9"/>
      <c r="B53" s="9"/>
      <c r="C53" s="9" t="s">
        <v>193</v>
      </c>
      <c r="D53" s="9"/>
      <c r="E53" s="9"/>
      <c r="F53" s="11">
        <f>Source!AO24</f>
        <v>376.17</v>
      </c>
      <c r="G53" s="25" t="str">
        <f>Source!DG24</f>
        <v>)*1,15</v>
      </c>
      <c r="H53" s="11">
        <f>(Source!CT24/IF(Source!BA24&lt;&gt;0,Source!BA24,1)*Source!I24)</f>
        <v>73.541235</v>
      </c>
      <c r="I53" s="9"/>
      <c r="J53" s="9">
        <f>Source!BA24</f>
        <v>22.5</v>
      </c>
      <c r="K53" s="11">
        <f>Source!S24</f>
        <v>1654.68</v>
      </c>
      <c r="L53" s="9"/>
    </row>
    <row r="54" spans="1:12" ht="15">
      <c r="A54" s="9"/>
      <c r="B54" s="9"/>
      <c r="C54" s="9" t="s">
        <v>59</v>
      </c>
      <c r="D54" s="9"/>
      <c r="E54" s="9"/>
      <c r="F54" s="11">
        <f>Source!AM24</f>
        <v>68.83</v>
      </c>
      <c r="G54" s="25" t="str">
        <f>Source!DE24</f>
        <v>)*1,15</v>
      </c>
      <c r="H54" s="11">
        <f>(Source!CR24/IF(Source!BB24&lt;&gt;0,Source!BB24,1)*Source!I24)</f>
        <v>13.456265</v>
      </c>
      <c r="I54" s="9"/>
      <c r="J54" s="9">
        <f>Source!BB24</f>
        <v>5.54</v>
      </c>
      <c r="K54" s="11">
        <f>Source!Q24</f>
        <v>74.55</v>
      </c>
      <c r="L54" s="9"/>
    </row>
    <row r="55" spans="1:12" ht="15">
      <c r="A55" s="9"/>
      <c r="B55" s="9"/>
      <c r="C55" s="9" t="s">
        <v>194</v>
      </c>
      <c r="D55" s="9"/>
      <c r="E55" s="9"/>
      <c r="F55" s="11">
        <f>Source!AN24</f>
        <v>3.13</v>
      </c>
      <c r="G55" s="25" t="str">
        <f>Source!DF24</f>
        <v>)*1,15</v>
      </c>
      <c r="H55" s="27">
        <f>(Source!CS24/IF(Source!BS24&lt;&gt;0,Source!BS24,1)*Source!I24)</f>
        <v>0.6119149999999999</v>
      </c>
      <c r="I55" s="9"/>
      <c r="J55" s="9">
        <f>Source!BS24</f>
        <v>22.5</v>
      </c>
      <c r="K55" s="27">
        <f>Source!R24</f>
        <v>13.77</v>
      </c>
      <c r="L55" s="9"/>
    </row>
    <row r="56" spans="1:12" ht="15">
      <c r="A56" s="9"/>
      <c r="B56" s="9"/>
      <c r="C56" s="9" t="s">
        <v>195</v>
      </c>
      <c r="D56" s="9"/>
      <c r="E56" s="9"/>
      <c r="F56" s="11">
        <f>Source!AL24</f>
        <v>1932.3</v>
      </c>
      <c r="G56" s="25">
        <f>Source!DD24</f>
      </c>
      <c r="H56" s="11">
        <f>(Source!CQ24/IF(Source!BC24&lt;&gt;0,Source!BC24,1)*Source!I24)</f>
        <v>328.491</v>
      </c>
      <c r="I56" s="9"/>
      <c r="J56" s="9">
        <f>Source!BC24</f>
        <v>6.02</v>
      </c>
      <c r="K56" s="11">
        <f>Source!P24</f>
        <v>1977.52</v>
      </c>
      <c r="L56" s="9"/>
    </row>
    <row r="57" spans="1:24" ht="15">
      <c r="A57" s="9"/>
      <c r="B57" s="9"/>
      <c r="C57" s="9" t="s">
        <v>196</v>
      </c>
      <c r="D57" s="12" t="s">
        <v>197</v>
      </c>
      <c r="E57" s="9"/>
      <c r="F57" s="11">
        <f>Source!BZ24</f>
        <v>83</v>
      </c>
      <c r="G57" s="9"/>
      <c r="H57" s="11">
        <f>X57+X60</f>
        <v>61.55</v>
      </c>
      <c r="I57" s="9"/>
      <c r="J57" s="11">
        <f>Source!AT24</f>
        <v>83</v>
      </c>
      <c r="K57" s="11">
        <f>Source!X24+Source!X25</f>
        <v>1384.81</v>
      </c>
      <c r="L57" s="9"/>
      <c r="X57">
        <f>ROUND((Source!FX24/100)*(((Source!CT24/IF(Source!BA24&lt;&gt;0,Source!BA24,1)*Source!I24))+((Source!CS24/IF(Source!BS24&lt;&gt;0,Source!BS24,1)*Source!I24))),2)</f>
        <v>61.55</v>
      </c>
    </row>
    <row r="58" spans="1:25" ht="15">
      <c r="A58" s="9"/>
      <c r="B58" s="9"/>
      <c r="C58" s="9" t="s">
        <v>75</v>
      </c>
      <c r="D58" s="12" t="s">
        <v>197</v>
      </c>
      <c r="E58" s="9"/>
      <c r="F58" s="11">
        <f>Source!CA24</f>
        <v>65</v>
      </c>
      <c r="G58" s="9"/>
      <c r="H58" s="11">
        <f>Y58+Y60</f>
        <v>48.2</v>
      </c>
      <c r="I58" s="9"/>
      <c r="J58" s="11">
        <f>Source!AU24</f>
        <v>65</v>
      </c>
      <c r="K58" s="11">
        <f>Source!Y24+Source!Y25</f>
        <v>1084.49</v>
      </c>
      <c r="L58" s="9"/>
      <c r="Y58">
        <f>ROUND((Source!FY24/100)*(((Source!CT24/IF(Source!BA24&lt;&gt;0,Source!BA24,1)*Source!I24))+((Source!CS24/IF(Source!BS24&lt;&gt;0,Source!BS24,1)*Source!I24))),2)</f>
        <v>48.2</v>
      </c>
    </row>
    <row r="59" spans="1:12" ht="15">
      <c r="A59" s="9"/>
      <c r="B59" s="9"/>
      <c r="C59" s="9" t="s">
        <v>198</v>
      </c>
      <c r="D59" s="12" t="s">
        <v>199</v>
      </c>
      <c r="E59" s="9">
        <f>Source!AQ24</f>
        <v>43.04</v>
      </c>
      <c r="F59" s="9"/>
      <c r="G59" s="25" t="str">
        <f>Source!DI24</f>
        <v>)*1,15</v>
      </c>
      <c r="H59" s="9"/>
      <c r="I59" s="9"/>
      <c r="J59" s="9"/>
      <c r="K59" s="9"/>
      <c r="L59" s="11">
        <f>Source!U24</f>
        <v>8.41432</v>
      </c>
    </row>
    <row r="60" spans="1:25" ht="71.25">
      <c r="A60" s="34" t="str">
        <f>Source!E25</f>
        <v>2,1</v>
      </c>
      <c r="B60" s="34" t="s">
        <v>201</v>
      </c>
      <c r="C60" s="35" t="str">
        <f>Source!G25</f>
        <v>Материалы рулонные кровельные для верхнего слоя, изопласт ЭКП-4.5</v>
      </c>
      <c r="D60" s="36" t="str">
        <f>Source!H25</f>
        <v>м2</v>
      </c>
      <c r="E60" s="28">
        <f>ROUND(Source!I25,6)</f>
        <v>39.624</v>
      </c>
      <c r="F60" s="31">
        <f>IF(Source!AL25=0,Source!AK25,Source!AL25)</f>
        <v>45.2</v>
      </c>
      <c r="G60" s="30">
        <f>Source!DD25</f>
      </c>
      <c r="H60" s="37">
        <f>(Source!CR25/IF(Source!BB25&lt;&gt;0,Source!BB25,1)*Source!I25)+(Source!CQ25/IF(Source!BC25&lt;&gt;0,Source!BC25,1)*Source!I25)+(Source!CT25/IF(Source!BA25&lt;&gt;0,Source!BA25,1)*Source!I25)</f>
        <v>1791.0048000000002</v>
      </c>
      <c r="I60" s="30" t="str">
        <f>IF(Source!BO25&lt;&gt;"",Source!BO25,"")</f>
        <v>101-1961</v>
      </c>
      <c r="J60" s="28">
        <f>Source!BC25</f>
        <v>3.36</v>
      </c>
      <c r="K60" s="31">
        <f>Source!O25</f>
        <v>6017.78</v>
      </c>
      <c r="L60" s="28"/>
      <c r="N60">
        <f>(Source!CT25/IF(Source!BA25&lt;&gt;0,Source!BA25,1)*Source!I25)</f>
        <v>0</v>
      </c>
      <c r="O60">
        <f>IF(Source!BI25=1,((Source!CR25/IF(Source!BB25&lt;&gt;0,Source!BB25,1)*Source!I25)+(Source!CQ25/IF(Source!BC25&lt;&gt;0,Source!BC25,1)*Source!I25)+(Source!CT25/IF(Source!BA25&lt;&gt;0,Source!BA25,1)*Source!I25)),0)</f>
        <v>1791.0048000000002</v>
      </c>
      <c r="P60">
        <f>IF(Source!BI25=2,((Source!CR25/IF(Source!BB25&lt;&gt;0,Source!BB25,1)*Source!I25)+(Source!CQ25/IF(Source!BC25&lt;&gt;0,Source!BC25,1)*Source!I25)+(Source!CT25/IF(Source!BA25&lt;&gt;0,Source!BA25,1)*Source!I25)),0)</f>
        <v>0</v>
      </c>
      <c r="Q60">
        <f>IF(Source!BI25=3,((Source!CR25/IF(Source!BB25&lt;&gt;0,Source!BB25,1)*Source!I25)+(Source!CQ25/IF(Source!BC25&lt;&gt;0,Source!BC25,1)*Source!I25)+(Source!CT25/IF(Source!BA25&lt;&gt;0,Source!BA25,1)*Source!I25)),0)</f>
        <v>0</v>
      </c>
      <c r="R60">
        <f>IF(Source!BI25=4,((Source!CR25/IF(Source!BB25&lt;&gt;0,Source!BB25,1)*Source!I25)+(Source!CQ25/IF(Source!BC25&lt;&gt;0,Source!BC25,1)*Source!I25)+(Source!CT25/IF(Source!BA25&lt;&gt;0,Source!BA25,1)*Source!I25)),0)</f>
        <v>0</v>
      </c>
      <c r="S60">
        <f>IF(Source!BI25=1,Source!O25+Source!X25+Source!Y25,0)</f>
        <v>6017.78</v>
      </c>
      <c r="T60">
        <f>IF(Source!BI25=2,Source!O25+Source!X25+Source!Y25,0)</f>
        <v>0</v>
      </c>
      <c r="U60">
        <f>IF(Source!BI25=3,Source!O25+Source!X25+Source!Y25,0)</f>
        <v>0</v>
      </c>
      <c r="V60">
        <f>IF(Source!BI25=4,Source!O25+Source!X25+Source!Y25,0)</f>
        <v>0</v>
      </c>
      <c r="W60">
        <f>(Source!CS25/IF(Source!BS25&lt;&gt;0,Source!BS25,1)*Source!I25)</f>
        <v>0</v>
      </c>
      <c r="X60">
        <f>ROUND((Source!FX25/100)*((Source!CT25/IF(Source!BA25&lt;&gt;0,Source!BA25,1)*Source!I25)+((Source!CS25/IF(Source!BS25&lt;&gt;0,Source!BS25,1)*Source!I25))),2)</f>
        <v>0</v>
      </c>
      <c r="Y60">
        <f>ROUND((Source!FY25/100)*((Source!CT25/IF(Source!BA25&lt;&gt;0,Source!BA25,1)*Source!I25)+((Source!CS25/IF(Source!BS25&lt;&gt;0,Source!BS25,1)*Source!I25))),2)</f>
        <v>0</v>
      </c>
    </row>
    <row r="61" spans="1:23" ht="15.75">
      <c r="A61" s="9"/>
      <c r="B61" s="9"/>
      <c r="C61" s="9"/>
      <c r="D61" s="9"/>
      <c r="E61" s="9"/>
      <c r="F61" s="9"/>
      <c r="G61" s="9"/>
      <c r="H61" s="32">
        <f>(Source!CT24/IF(Source!BA24&lt;&gt;0,Source!BA24,1)*Source!I24)+(Source!CR24/IF(Source!BB24&lt;&gt;0,Source!BB24,1)*Source!I24)+H56+H57+H58+H60</f>
        <v>2316.2433</v>
      </c>
      <c r="I61" s="33"/>
      <c r="J61" s="33"/>
      <c r="K61" s="32">
        <f>Source!S24+Source!Q24+K56+K57+K58+K60</f>
        <v>12193.829999999998</v>
      </c>
      <c r="L61" s="32">
        <f>Source!U24</f>
        <v>8.41432</v>
      </c>
      <c r="M61" s="26">
        <f>H61</f>
        <v>2316.2433</v>
      </c>
      <c r="N61">
        <f>(Source!CT24/IF(Source!BA24&lt;&gt;0,Source!BA24,1)*Source!I24)</f>
        <v>73.541235</v>
      </c>
      <c r="O61">
        <f>IF(Source!BI24=1,((((Source!CT24/IF(Source!BA24&lt;&gt;0,Source!BA24,1)*Source!I24)+(Source!CR24/IF(Source!BB24&lt;&gt;0,Source!BB24,1)*Source!I24)+(Source!CQ24/IF(Source!BC24&lt;&gt;0,Source!BC24,1)*Source!I24))+((Source!FX24/100)*((Source!CT24/IF(Source!BA24&lt;&gt;0,Source!BA24,1)*Source!I24)+(Source!CS24/IF(Source!BS24&lt;&gt;0,Source!BS24,1)*Source!I24)))+((Source!FY24/100)*((Source!CT24/IF(Source!BA24&lt;&gt;0,Source!BA24,1)*Source!I24)+(Source!CS24/IF(Source!BS24&lt;&gt;0,Source!BS24,1)*Source!I24))))),0)</f>
        <v>525.235162</v>
      </c>
      <c r="P61">
        <f>IF(Source!BI24=2,((((Source!CT24/IF(Source!BA24&lt;&gt;0,Source!BA24,1)*Source!I24)+(Source!CR24/IF(Source!BB24&lt;&gt;0,Source!BB24,1)*Source!I24)+(Source!CQ24/IF(Source!BC24&lt;&gt;0,Source!BC24,1)*Source!I24))+((Source!FX24/100)*((Source!CT24/IF(Source!BA24&lt;&gt;0,Source!BA24,1)*Source!I24)+(Source!CS24/IF(Source!BS24&lt;&gt;0,Source!BS24,1)*Source!I24)))+((Source!FY24/100)*((Source!CT24/IF(Source!BA24&lt;&gt;0,Source!BA24,1)*Source!I24)+(Source!CS24/IF(Source!BS24&lt;&gt;0,Source!BS24,1)*Source!I24))))),0)</f>
        <v>0</v>
      </c>
      <c r="Q61">
        <f>IF(Source!BI24=3,((((Source!CT24/IF(Source!BA24&lt;&gt;0,Source!BA24,1)*Source!I24)+(Source!CR24/IF(Source!BB24&lt;&gt;0,Source!BB24,1)*Source!I24)+(Source!CQ24/IF(Source!BC24&lt;&gt;0,Source!BC24,1)*Source!I24))+((Source!FX24/100)*((Source!CT24/IF(Source!BA24&lt;&gt;0,Source!BA24,1)*Source!I24)+(Source!CS24/IF(Source!BS24&lt;&gt;0,Source!BS24,1)*Source!I24)))+((Source!FY24/100)*((Source!CT24/IF(Source!BA24&lt;&gt;0,Source!BA24,1)*Source!I24)+(Source!CS24/IF(Source!BS24&lt;&gt;0,Source!BS24,1)*Source!I24))))),0)</f>
        <v>0</v>
      </c>
      <c r="R61">
        <f>IF(Source!BI24=4,((((Source!CT24/IF(Source!BA24&lt;&gt;0,Source!BA24,1)*Source!I24)+(Source!CR24/IF(Source!BB24&lt;&gt;0,Source!BB24,1)*Source!I24)+(Source!CQ24/IF(Source!BC24&lt;&gt;0,Source!BC24,1)*Source!I24))+((Source!FX24/100)*((Source!CT24/IF(Source!BA24&lt;&gt;0,Source!BA24,1)*Source!I24)+(Source!CS24/IF(Source!BS24&lt;&gt;0,Source!BS24,1)*Source!I24)))+((Source!FY24/100)*((Source!CT24/IF(Source!BA24&lt;&gt;0,Source!BA24,1)*Source!I24)+(Source!CS24/IF(Source!BS24&lt;&gt;0,Source!BS24,1)*Source!I24))))),0)</f>
        <v>0</v>
      </c>
      <c r="S61">
        <f>IF(Source!BI24=1,Source!O24+Source!X24+Source!Y24,0)</f>
        <v>6176.049999999999</v>
      </c>
      <c r="T61">
        <f>IF(Source!BI24=2,Source!O24+Source!X24+Source!Y24,0)</f>
        <v>0</v>
      </c>
      <c r="U61">
        <f>IF(Source!BI24=3,Source!O24+Source!X24+Source!Y24,0)</f>
        <v>0</v>
      </c>
      <c r="V61">
        <f>IF(Source!BI24=4,Source!O24+Source!X24+Source!Y24,0)</f>
        <v>0</v>
      </c>
      <c r="W61">
        <f>(Source!CS24/IF(Source!BS24&lt;&gt;0,Source!BS24,1)*Source!I24)</f>
        <v>0.6119149999999999</v>
      </c>
    </row>
    <row r="62" spans="1:12" ht="120">
      <c r="A62" s="22" t="str">
        <f>Source!E26</f>
        <v>3</v>
      </c>
      <c r="B62" s="22" t="s">
        <v>202</v>
      </c>
      <c r="C62" s="23" t="str">
        <f>Source!G26</f>
        <v>Устройство примыканий рулонных и мастичных кровель к стенам и парапетам высотой до 600 мм без фартуков</v>
      </c>
      <c r="D62" s="24" t="str">
        <f>Source!H26</f>
        <v>100 м</v>
      </c>
      <c r="E62" s="9">
        <f>ROUND(Source!I26,6)</f>
        <v>0.157</v>
      </c>
      <c r="F62" s="11">
        <f>IF(Source!AK26&lt;&gt;0,Source!AK26,Source!AL26+Source!AM26+Source!AO26)</f>
        <v>2737.35</v>
      </c>
      <c r="G62" s="9"/>
      <c r="H62" s="9"/>
      <c r="I62" s="25" t="str">
        <f>IF(Source!BO26&lt;&gt;"",Source!BO26,"")</f>
        <v>12-01-004-1</v>
      </c>
      <c r="J62" s="9"/>
      <c r="K62" s="9"/>
      <c r="L62" s="9"/>
    </row>
    <row r="63" spans="1:12" ht="30">
      <c r="A63" s="9"/>
      <c r="B63" s="9"/>
      <c r="C63" s="9" t="s">
        <v>193</v>
      </c>
      <c r="D63" s="9"/>
      <c r="E63" s="9"/>
      <c r="F63" s="11">
        <f>Source!AO26</f>
        <v>239.6</v>
      </c>
      <c r="G63" s="25" t="str">
        <f>Source!DG26</f>
        <v>)*1,15)*1,15</v>
      </c>
      <c r="H63" s="11">
        <f>(Source!CT26/IF(Source!BA26&lt;&gt;0,Source!BA26,1)*Source!I26)</f>
        <v>49.74874699999999</v>
      </c>
      <c r="I63" s="9"/>
      <c r="J63" s="9">
        <f>Source!BA26</f>
        <v>22.5</v>
      </c>
      <c r="K63" s="11">
        <f>Source!S26</f>
        <v>1119.35</v>
      </c>
      <c r="L63" s="9"/>
    </row>
    <row r="64" spans="1:12" ht="30">
      <c r="A64" s="9"/>
      <c r="B64" s="9"/>
      <c r="C64" s="9" t="s">
        <v>59</v>
      </c>
      <c r="D64" s="9"/>
      <c r="E64" s="9"/>
      <c r="F64" s="11">
        <f>Source!AM26</f>
        <v>181.7</v>
      </c>
      <c r="G64" s="25" t="str">
        <f>Source!DE26</f>
        <v>)*1,25)*1,15</v>
      </c>
      <c r="H64" s="11">
        <f>(Source!CR26/IF(Source!BB26&lt;&gt;0,Source!BB26,1)*Source!I26)</f>
        <v>41.00741874999999</v>
      </c>
      <c r="I64" s="9"/>
      <c r="J64" s="9">
        <f>Source!BB26</f>
        <v>4.54</v>
      </c>
      <c r="K64" s="11">
        <f>Source!Q26</f>
        <v>186.17</v>
      </c>
      <c r="L64" s="9"/>
    </row>
    <row r="65" spans="1:12" ht="30">
      <c r="A65" s="9"/>
      <c r="B65" s="9"/>
      <c r="C65" s="9" t="s">
        <v>194</v>
      </c>
      <c r="D65" s="9"/>
      <c r="E65" s="9"/>
      <c r="F65" s="11">
        <f>Source!AN26</f>
        <v>3.24</v>
      </c>
      <c r="G65" s="25" t="str">
        <f>Source!DF26</f>
        <v>)*1,25)*1,15</v>
      </c>
      <c r="H65" s="27">
        <f>(Source!CS26/IF(Source!BS26&lt;&gt;0,Source!BS26,1)*Source!I26)</f>
        <v>0.7312275000000001</v>
      </c>
      <c r="I65" s="9"/>
      <c r="J65" s="9">
        <f>Source!BS26</f>
        <v>22.5</v>
      </c>
      <c r="K65" s="27">
        <f>Source!R26</f>
        <v>16.45</v>
      </c>
      <c r="L65" s="9"/>
    </row>
    <row r="66" spans="1:12" ht="15">
      <c r="A66" s="9"/>
      <c r="B66" s="9"/>
      <c r="C66" s="9" t="s">
        <v>195</v>
      </c>
      <c r="D66" s="9"/>
      <c r="E66" s="9"/>
      <c r="F66" s="11">
        <f>Source!AL26</f>
        <v>2316.05</v>
      </c>
      <c r="G66" s="25">
        <f>Source!DD26</f>
      </c>
      <c r="H66" s="11">
        <f>(Source!CQ26/IF(Source!BC26&lt;&gt;0,Source!BC26,1)*Source!I26)</f>
        <v>363.61985000000004</v>
      </c>
      <c r="I66" s="9"/>
      <c r="J66" s="9">
        <f>Source!BC26</f>
        <v>6</v>
      </c>
      <c r="K66" s="11">
        <f>Source!P26</f>
        <v>2181.72</v>
      </c>
      <c r="L66" s="9"/>
    </row>
    <row r="67" spans="1:24" ht="15">
      <c r="A67" s="9"/>
      <c r="B67" s="9"/>
      <c r="C67" s="9" t="s">
        <v>196</v>
      </c>
      <c r="D67" s="12" t="s">
        <v>197</v>
      </c>
      <c r="E67" s="9"/>
      <c r="F67" s="11">
        <f>Source!BZ26</f>
        <v>120</v>
      </c>
      <c r="G67" s="9" t="str">
        <f>Source!FT26</f>
        <v>*0.9</v>
      </c>
      <c r="H67" s="11">
        <f>X67</f>
        <v>54.52</v>
      </c>
      <c r="I67" s="9" t="str">
        <f>Source!FV26</f>
        <v>(*0.85)</v>
      </c>
      <c r="J67" s="11">
        <f>Source!AT26</f>
        <v>91.8</v>
      </c>
      <c r="K67" s="11">
        <f>Source!X26</f>
        <v>1042.66</v>
      </c>
      <c r="L67" s="9"/>
      <c r="X67">
        <f>ROUND((Source!FX26/100)*(((Source!CT26/IF(Source!BA26&lt;&gt;0,Source!BA26,1)*Source!I26))+((Source!CS26/IF(Source!BS26&lt;&gt;0,Source!BS26,1)*Source!I26))),2)</f>
        <v>54.52</v>
      </c>
    </row>
    <row r="68" spans="1:25" ht="15">
      <c r="A68" s="9"/>
      <c r="B68" s="9"/>
      <c r="C68" s="9" t="s">
        <v>75</v>
      </c>
      <c r="D68" s="12" t="s">
        <v>197</v>
      </c>
      <c r="E68" s="9"/>
      <c r="F68" s="11">
        <f>Source!CA26</f>
        <v>65</v>
      </c>
      <c r="G68" s="9" t="str">
        <f>Source!FU26</f>
        <v>*0.85</v>
      </c>
      <c r="H68" s="11">
        <f>Y68</f>
        <v>27.89</v>
      </c>
      <c r="I68" s="9" t="str">
        <f>Source!FW26</f>
        <v>(*0.8)</v>
      </c>
      <c r="J68" s="11">
        <f>Source!AU26</f>
        <v>44.2</v>
      </c>
      <c r="K68" s="11">
        <f>Source!Y26</f>
        <v>502.02</v>
      </c>
      <c r="L68" s="9"/>
      <c r="Y68">
        <f>ROUND((Source!FY26/100)*(((Source!CT26/IF(Source!BA26&lt;&gt;0,Source!BA26,1)*Source!I26))+((Source!CS26/IF(Source!BS26&lt;&gt;0,Source!BS26,1)*Source!I26))),2)</f>
        <v>27.89</v>
      </c>
    </row>
    <row r="69" spans="1:12" ht="30">
      <c r="A69" s="28"/>
      <c r="B69" s="28"/>
      <c r="C69" s="28" t="s">
        <v>198</v>
      </c>
      <c r="D69" s="29" t="s">
        <v>199</v>
      </c>
      <c r="E69" s="28">
        <f>Source!AQ26</f>
        <v>26.1</v>
      </c>
      <c r="F69" s="28"/>
      <c r="G69" s="30" t="str">
        <f>Source!DI26</f>
        <v>)*1,15)*1,15</v>
      </c>
      <c r="H69" s="28"/>
      <c r="I69" s="28"/>
      <c r="J69" s="28"/>
      <c r="K69" s="28"/>
      <c r="L69" s="31">
        <f>Source!U26</f>
        <v>5.41920825</v>
      </c>
    </row>
    <row r="70" spans="1:23" ht="15.75">
      <c r="A70" s="9"/>
      <c r="B70" s="9"/>
      <c r="C70" s="9"/>
      <c r="D70" s="9"/>
      <c r="E70" s="9"/>
      <c r="F70" s="9"/>
      <c r="G70" s="9"/>
      <c r="H70" s="32">
        <f>(Source!CT26/IF(Source!BA26&lt;&gt;0,Source!BA26,1)*Source!I26)+(Source!CR26/IF(Source!BB26&lt;&gt;0,Source!BB26,1)*Source!I26)+H66+H67+H68</f>
        <v>536.78601575</v>
      </c>
      <c r="I70" s="33"/>
      <c r="J70" s="33"/>
      <c r="K70" s="32">
        <f>Source!S26+Source!Q26+K66+K67+K68</f>
        <v>5031.92</v>
      </c>
      <c r="L70" s="32">
        <f>Source!U26</f>
        <v>5.41920825</v>
      </c>
      <c r="M70" s="26">
        <f>H70</f>
        <v>536.78601575</v>
      </c>
      <c r="N70">
        <f>(Source!CT26/IF(Source!BA26&lt;&gt;0,Source!BA26,1)*Source!I26)</f>
        <v>49.74874699999999</v>
      </c>
      <c r="O70">
        <f>IF(Source!BI26=1,((((Source!CT26/IF(Source!BA26&lt;&gt;0,Source!BA26,1)*Source!I26)+(Source!CR26/IF(Source!BB26&lt;&gt;0,Source!BB26,1)*Source!I26)+(Source!CQ26/IF(Source!BC26&lt;&gt;0,Source!BC26,1)*Source!I26))+((Source!FX26/100)*((Source!CT26/IF(Source!BA26&lt;&gt;0,Source!BA26,1)*Source!I26)+(Source!CS26/IF(Source!BS26&lt;&gt;0,Source!BS26,1)*Source!I26)))+((Source!FY26/100)*((Source!CT26/IF(Source!BA26&lt;&gt;0,Source!BA26,1)*Source!I26)+(Source!CS26/IF(Source!BS26&lt;&gt;0,Source!BS26,1)*Source!I26))))),0)</f>
        <v>536.78457412125</v>
      </c>
      <c r="P70">
        <f>IF(Source!BI26=2,((((Source!CT26/IF(Source!BA26&lt;&gt;0,Source!BA26,1)*Source!I26)+(Source!CR26/IF(Source!BB26&lt;&gt;0,Source!BB26,1)*Source!I26)+(Source!CQ26/IF(Source!BC26&lt;&gt;0,Source!BC26,1)*Source!I26))+((Source!FX26/100)*((Source!CT26/IF(Source!BA26&lt;&gt;0,Source!BA26,1)*Source!I26)+(Source!CS26/IF(Source!BS26&lt;&gt;0,Source!BS26,1)*Source!I26)))+((Source!FY26/100)*((Source!CT26/IF(Source!BA26&lt;&gt;0,Source!BA26,1)*Source!I26)+(Source!CS26/IF(Source!BS26&lt;&gt;0,Source!BS26,1)*Source!I26))))),0)</f>
        <v>0</v>
      </c>
      <c r="Q70">
        <f>IF(Source!BI26=3,((((Source!CT26/IF(Source!BA26&lt;&gt;0,Source!BA26,1)*Source!I26)+(Source!CR26/IF(Source!BB26&lt;&gt;0,Source!BB26,1)*Source!I26)+(Source!CQ26/IF(Source!BC26&lt;&gt;0,Source!BC26,1)*Source!I26))+((Source!FX26/100)*((Source!CT26/IF(Source!BA26&lt;&gt;0,Source!BA26,1)*Source!I26)+(Source!CS26/IF(Source!BS26&lt;&gt;0,Source!BS26,1)*Source!I26)))+((Source!FY26/100)*((Source!CT26/IF(Source!BA26&lt;&gt;0,Source!BA26,1)*Source!I26)+(Source!CS26/IF(Source!BS26&lt;&gt;0,Source!BS26,1)*Source!I26))))),0)</f>
        <v>0</v>
      </c>
      <c r="R70">
        <f>IF(Source!BI26=4,((((Source!CT26/IF(Source!BA26&lt;&gt;0,Source!BA26,1)*Source!I26)+(Source!CR26/IF(Source!BB26&lt;&gt;0,Source!BB26,1)*Source!I26)+(Source!CQ26/IF(Source!BC26&lt;&gt;0,Source!BC26,1)*Source!I26))+((Source!FX26/100)*((Source!CT26/IF(Source!BA26&lt;&gt;0,Source!BA26,1)*Source!I26)+(Source!CS26/IF(Source!BS26&lt;&gt;0,Source!BS26,1)*Source!I26)))+((Source!FY26/100)*((Source!CT26/IF(Source!BA26&lt;&gt;0,Source!BA26,1)*Source!I26)+(Source!CS26/IF(Source!BS26&lt;&gt;0,Source!BS26,1)*Source!I26))))),0)</f>
        <v>0</v>
      </c>
      <c r="S70">
        <f>IF(Source!BI26=1,Source!O26+Source!X26+Source!Y26,0)</f>
        <v>5031.92</v>
      </c>
      <c r="T70">
        <f>IF(Source!BI26=2,Source!O26+Source!X26+Source!Y26,0)</f>
        <v>0</v>
      </c>
      <c r="U70">
        <f>IF(Source!BI26=3,Source!O26+Source!X26+Source!Y26,0)</f>
        <v>0</v>
      </c>
      <c r="V70">
        <f>IF(Source!BI26=4,Source!O26+Source!X26+Source!Y26,0)</f>
        <v>0</v>
      </c>
      <c r="W70">
        <f>(Source!CS26/IF(Source!BS26&lt;&gt;0,Source!BS26,1)*Source!I26)</f>
        <v>0.7312275000000001</v>
      </c>
    </row>
    <row r="72" spans="3:23" s="33" customFormat="1" ht="15.75">
      <c r="C72" s="33" t="s">
        <v>203</v>
      </c>
      <c r="G72" s="51">
        <f>SUM(M43:M71)</f>
        <v>3303.77791575</v>
      </c>
      <c r="H72" s="51"/>
      <c r="J72" s="51">
        <f>ROUND(Source!AB21+Source!AK21+Source!AL21+Source!AE21*0/100,2)</f>
        <v>25423.73</v>
      </c>
      <c r="K72" s="51"/>
      <c r="L72" s="32">
        <f>Source!AH21</f>
        <v>28.77</v>
      </c>
      <c r="N72" s="32">
        <f aca="true" t="shared" si="0" ref="N72:W72">SUM(N43:N71)</f>
        <v>255.64463199999997</v>
      </c>
      <c r="O72" s="32">
        <f t="shared" si="0"/>
        <v>3303.77039412125</v>
      </c>
      <c r="P72" s="32">
        <f t="shared" si="0"/>
        <v>0</v>
      </c>
      <c r="Q72" s="32">
        <f t="shared" si="0"/>
        <v>0</v>
      </c>
      <c r="R72" s="32">
        <f t="shared" si="0"/>
        <v>0</v>
      </c>
      <c r="S72" s="32">
        <f t="shared" si="0"/>
        <v>25423.729999999996</v>
      </c>
      <c r="T72" s="32">
        <f t="shared" si="0"/>
        <v>0</v>
      </c>
      <c r="U72" s="32">
        <f t="shared" si="0"/>
        <v>0</v>
      </c>
      <c r="V72" s="32">
        <f t="shared" si="0"/>
        <v>0</v>
      </c>
      <c r="W72" s="33">
        <f t="shared" si="0"/>
        <v>2.9393425</v>
      </c>
    </row>
    <row r="75" spans="3:23" s="38" customFormat="1" ht="18">
      <c r="C75" s="38" t="s">
        <v>204</v>
      </c>
      <c r="G75" s="42">
        <f>G72</f>
        <v>3303.77791575</v>
      </c>
      <c r="H75" s="42"/>
      <c r="J75" s="42">
        <f>ROUND(Source!O28+Source!X28+Source!Y28+Source!R28*0/100,2)</f>
        <v>25423.73</v>
      </c>
      <c r="K75" s="42"/>
      <c r="L75" s="39">
        <f>Source!U28</f>
        <v>28.77</v>
      </c>
      <c r="N75" s="39">
        <f aca="true" t="shared" si="1" ref="N75:W75">N72</f>
        <v>255.64463199999997</v>
      </c>
      <c r="O75" s="39">
        <f t="shared" si="1"/>
        <v>3303.77039412125</v>
      </c>
      <c r="P75" s="39">
        <f t="shared" si="1"/>
        <v>0</v>
      </c>
      <c r="Q75" s="39">
        <f t="shared" si="1"/>
        <v>0</v>
      </c>
      <c r="R75" s="39">
        <f t="shared" si="1"/>
        <v>0</v>
      </c>
      <c r="S75" s="39">
        <f t="shared" si="1"/>
        <v>25423.729999999996</v>
      </c>
      <c r="T75" s="39">
        <f t="shared" si="1"/>
        <v>0</v>
      </c>
      <c r="U75" s="39">
        <f t="shared" si="1"/>
        <v>0</v>
      </c>
      <c r="V75" s="39">
        <f t="shared" si="1"/>
        <v>0</v>
      </c>
      <c r="W75" s="38">
        <f t="shared" si="1"/>
        <v>2.9393425</v>
      </c>
    </row>
    <row r="77" spans="3:11" ht="18" hidden="1">
      <c r="C77" s="38" t="s">
        <v>205</v>
      </c>
      <c r="D77" s="44" t="str">
        <f>Source!G44</f>
        <v>№153-31.05.16 С Смета на ремонт кровли(Гаврилов Филипп)</v>
      </c>
      <c r="E77" s="44"/>
      <c r="F77" s="44"/>
      <c r="G77" s="44"/>
      <c r="H77" s="44"/>
      <c r="I77" s="44"/>
      <c r="J77" s="44"/>
      <c r="K77" s="44"/>
    </row>
    <row r="78" spans="3:12" ht="18">
      <c r="C78" s="45" t="str">
        <f>Source!H59</f>
        <v>Всего по смете</v>
      </c>
      <c r="D78" s="45"/>
      <c r="E78" s="45"/>
      <c r="F78" s="45"/>
      <c r="G78" s="45"/>
      <c r="H78" s="45"/>
      <c r="I78" s="45"/>
      <c r="J78" s="46">
        <f>Source!F59</f>
        <v>25423.73</v>
      </c>
      <c r="K78" s="47"/>
      <c r="L78" s="40"/>
    </row>
    <row r="79" spans="3:12" ht="18">
      <c r="C79" s="45" t="str">
        <f>Source!H60</f>
        <v>НДС 18%</v>
      </c>
      <c r="D79" s="45"/>
      <c r="E79" s="45"/>
      <c r="F79" s="45"/>
      <c r="G79" s="45"/>
      <c r="H79" s="45"/>
      <c r="I79" s="45"/>
      <c r="J79" s="46">
        <f>Source!F60</f>
        <v>4576.27</v>
      </c>
      <c r="K79" s="47"/>
      <c r="L79" s="40"/>
    </row>
    <row r="80" spans="3:12" ht="18">
      <c r="C80" s="45" t="str">
        <f>Source!H61</f>
        <v>Итого с НДС</v>
      </c>
      <c r="D80" s="45"/>
      <c r="E80" s="45"/>
      <c r="F80" s="45"/>
      <c r="G80" s="45"/>
      <c r="H80" s="45"/>
      <c r="I80" s="45"/>
      <c r="J80" s="46">
        <f>Source!F61</f>
        <v>30000</v>
      </c>
      <c r="K80" s="47"/>
      <c r="L80" s="40"/>
    </row>
    <row r="82" spans="3:23" s="38" customFormat="1" ht="18" hidden="1">
      <c r="C82" s="38" t="s">
        <v>205</v>
      </c>
      <c r="G82" s="42">
        <f>SUM(M1:M82)</f>
        <v>3303.77791575</v>
      </c>
      <c r="H82" s="42"/>
      <c r="J82" s="42">
        <f>ROUND(Source!O17+Source!X17+Source!Y17+Source!R17*0/100,2)</f>
        <v>25423.73</v>
      </c>
      <c r="K82" s="42"/>
      <c r="L82" s="39">
        <f>Source!U17</f>
        <v>28.77</v>
      </c>
      <c r="N82" s="39">
        <f aca="true" t="shared" si="2" ref="N82:W82">N72</f>
        <v>255.64463199999997</v>
      </c>
      <c r="O82" s="39">
        <f t="shared" si="2"/>
        <v>3303.77039412125</v>
      </c>
      <c r="P82" s="39">
        <f t="shared" si="2"/>
        <v>0</v>
      </c>
      <c r="Q82" s="39">
        <f t="shared" si="2"/>
        <v>0</v>
      </c>
      <c r="R82" s="39">
        <f t="shared" si="2"/>
        <v>0</v>
      </c>
      <c r="S82" s="39">
        <f t="shared" si="2"/>
        <v>25423.729999999996</v>
      </c>
      <c r="T82" s="39">
        <f t="shared" si="2"/>
        <v>0</v>
      </c>
      <c r="U82" s="39">
        <f t="shared" si="2"/>
        <v>0</v>
      </c>
      <c r="V82" s="39">
        <f t="shared" si="2"/>
        <v>0</v>
      </c>
      <c r="W82" s="38">
        <f t="shared" si="2"/>
        <v>2.9393425</v>
      </c>
    </row>
    <row r="87" spans="1:8" s="4" customFormat="1" ht="12.75">
      <c r="A87" s="4" t="s">
        <v>206</v>
      </c>
      <c r="C87" s="41" t="str">
        <f>IF(Source!AO11&lt;&gt;"",Source!AO11," ")</f>
        <v> </v>
      </c>
      <c r="D87" s="41"/>
      <c r="E87" s="41"/>
      <c r="F87" s="41"/>
      <c r="G87" s="41"/>
      <c r="H87" s="4" t="str">
        <f>IF(Source!R11&lt;&gt;"",Source!R11," ")</f>
        <v> </v>
      </c>
    </row>
    <row r="88" spans="3:7" s="5" customFormat="1" ht="11.25">
      <c r="C88" s="43" t="s">
        <v>207</v>
      </c>
      <c r="D88" s="43"/>
      <c r="E88" s="43"/>
      <c r="F88" s="43"/>
      <c r="G88" s="43"/>
    </row>
    <row r="90" spans="1:8" s="4" customFormat="1" ht="12.75">
      <c r="A90" s="4" t="s">
        <v>208</v>
      </c>
      <c r="C90" s="41" t="str">
        <f>IF(Source!AP11&lt;&gt;"",Source!AP11," ")</f>
        <v> </v>
      </c>
      <c r="D90" s="41"/>
      <c r="E90" s="41"/>
      <c r="F90" s="41"/>
      <c r="G90" s="41"/>
      <c r="H90" s="4" t="str">
        <f>IF(Source!S11&lt;&gt;"",Source!S11," ")</f>
        <v> </v>
      </c>
    </row>
    <row r="91" spans="3:7" s="5" customFormat="1" ht="11.25">
      <c r="C91" s="43" t="s">
        <v>207</v>
      </c>
      <c r="D91" s="43"/>
      <c r="E91" s="43"/>
      <c r="F91" s="43"/>
      <c r="G91" s="43"/>
    </row>
  </sheetData>
  <sheetProtection/>
  <mergeCells count="62">
    <mergeCell ref="C7:D7"/>
    <mergeCell ref="H7:K7"/>
    <mergeCell ref="A11:L11"/>
    <mergeCell ref="A12:L12"/>
    <mergeCell ref="G14:H14"/>
    <mergeCell ref="I14:L14"/>
    <mergeCell ref="A16:L16"/>
    <mergeCell ref="F3:I3"/>
    <mergeCell ref="A5:B5"/>
    <mergeCell ref="F5:H5"/>
    <mergeCell ref="C5:D5"/>
    <mergeCell ref="I5:K5"/>
    <mergeCell ref="B19:L19"/>
    <mergeCell ref="B20:L20"/>
    <mergeCell ref="A22:L22"/>
    <mergeCell ref="G25:H25"/>
    <mergeCell ref="I25:J25"/>
    <mergeCell ref="C26:F26"/>
    <mergeCell ref="G26:H26"/>
    <mergeCell ref="I26:J26"/>
    <mergeCell ref="K26:L26"/>
    <mergeCell ref="C27:F27"/>
    <mergeCell ref="G27:H27"/>
    <mergeCell ref="I27:J27"/>
    <mergeCell ref="K27:L27"/>
    <mergeCell ref="C28:F28"/>
    <mergeCell ref="G28:H28"/>
    <mergeCell ref="I28:J28"/>
    <mergeCell ref="K28:L28"/>
    <mergeCell ref="C29:F29"/>
    <mergeCell ref="G29:H29"/>
    <mergeCell ref="I29:J29"/>
    <mergeCell ref="K29:L29"/>
    <mergeCell ref="C30:F30"/>
    <mergeCell ref="G30:H30"/>
    <mergeCell ref="I30:J30"/>
    <mergeCell ref="K30:L30"/>
    <mergeCell ref="C31:F31"/>
    <mergeCell ref="G31:H31"/>
    <mergeCell ref="I31:J31"/>
    <mergeCell ref="K31:L31"/>
    <mergeCell ref="C32:F32"/>
    <mergeCell ref="G32:H32"/>
    <mergeCell ref="I32:J32"/>
    <mergeCell ref="K32:L32"/>
    <mergeCell ref="J80:K80"/>
    <mergeCell ref="A34:C34"/>
    <mergeCell ref="D41:K41"/>
    <mergeCell ref="J72:K72"/>
    <mergeCell ref="G72:H72"/>
    <mergeCell ref="J75:K75"/>
    <mergeCell ref="G75:H75"/>
    <mergeCell ref="J82:K82"/>
    <mergeCell ref="G82:H82"/>
    <mergeCell ref="C88:G88"/>
    <mergeCell ref="C91:G91"/>
    <mergeCell ref="D77:K77"/>
    <mergeCell ref="C78:I78"/>
    <mergeCell ref="J78:K78"/>
    <mergeCell ref="C79:I79"/>
    <mergeCell ref="J79:K79"/>
    <mergeCell ref="C80:I80"/>
  </mergeCells>
  <printOptions/>
  <pageMargins left="0.2755905511811024" right="0.1968503937007874" top="0.3937007874015748" bottom="0.3937007874015748" header="0.11811023622047245" footer="0.11811023622047245"/>
  <pageSetup horizontalDpi="600" verticalDpi="600" orientation="portrait" paperSize="9" scale="65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1:FY81"/>
  <sheetViews>
    <sheetView zoomScalePageLayoutView="0" workbookViewId="0" topLeftCell="A1">
      <selection activeCell="A1" sqref="A1"/>
    </sheetView>
  </sheetViews>
  <sheetFormatPr defaultColWidth="9.140625" defaultRowHeight="12.75"/>
  <sheetData>
    <row r="11" spans="1:104" ht="12.75">
      <c r="A11" s="1">
        <v>1</v>
      </c>
      <c r="B11" s="1">
        <v>1</v>
      </c>
      <c r="C11" s="1">
        <v>0</v>
      </c>
      <c r="D11" s="1">
        <f>ROW(A44)</f>
        <v>44</v>
      </c>
      <c r="E11" s="1">
        <v>0</v>
      </c>
      <c r="F11" s="1" t="s">
        <v>0</v>
      </c>
      <c r="G11" s="1" t="s">
        <v>1</v>
      </c>
      <c r="H11" s="1" t="s">
        <v>2</v>
      </c>
      <c r="I11" s="1">
        <v>0</v>
      </c>
      <c r="J11" s="1" t="s">
        <v>2</v>
      </c>
      <c r="K11" s="1" t="s">
        <v>2</v>
      </c>
      <c r="L11" s="1" t="s">
        <v>2</v>
      </c>
      <c r="M11" s="1" t="s">
        <v>2</v>
      </c>
      <c r="N11" s="1" t="s">
        <v>2</v>
      </c>
      <c r="O11" s="1" t="s">
        <v>3</v>
      </c>
      <c r="P11" s="1">
        <v>2016</v>
      </c>
      <c r="Q11" s="1">
        <v>3</v>
      </c>
      <c r="R11" s="1" t="s">
        <v>2</v>
      </c>
      <c r="S11" s="1" t="s">
        <v>2</v>
      </c>
      <c r="T11" s="1" t="s">
        <v>2</v>
      </c>
      <c r="U11" s="1" t="s">
        <v>2</v>
      </c>
      <c r="V11" s="1">
        <v>-3</v>
      </c>
      <c r="W11" s="1" t="s">
        <v>2</v>
      </c>
      <c r="X11" s="1">
        <v>0</v>
      </c>
      <c r="Y11" s="1">
        <v>2</v>
      </c>
      <c r="Z11" s="1">
        <v>1</v>
      </c>
      <c r="AA11" s="1">
        <v>3</v>
      </c>
      <c r="AB11" s="1"/>
      <c r="AC11" s="1">
        <v>1</v>
      </c>
      <c r="AD11" s="1">
        <v>2</v>
      </c>
      <c r="AE11" s="1">
        <v>0</v>
      </c>
      <c r="AF11" s="1">
        <v>0</v>
      </c>
      <c r="AG11" s="1">
        <v>1</v>
      </c>
      <c r="AH11" s="1">
        <v>40</v>
      </c>
      <c r="AI11" s="1">
        <v>0</v>
      </c>
      <c r="AJ11" s="1">
        <v>0</v>
      </c>
      <c r="AK11" s="1">
        <v>0</v>
      </c>
      <c r="AL11" s="1" t="s">
        <v>2</v>
      </c>
      <c r="AM11" s="1" t="s">
        <v>2</v>
      </c>
      <c r="AN11" s="1">
        <v>0</v>
      </c>
      <c r="AO11" s="1" t="s">
        <v>2</v>
      </c>
      <c r="AP11" s="1" t="s">
        <v>2</v>
      </c>
      <c r="AQ11" s="1" t="s">
        <v>2</v>
      </c>
      <c r="AR11" s="1" t="s">
        <v>2</v>
      </c>
      <c r="AS11" s="1" t="s">
        <v>2</v>
      </c>
      <c r="AT11" s="1" t="s">
        <v>2</v>
      </c>
      <c r="AU11" s="1" t="s">
        <v>2</v>
      </c>
      <c r="AV11" s="1" t="s">
        <v>2</v>
      </c>
      <c r="AW11" s="1" t="s">
        <v>2</v>
      </c>
      <c r="AX11" s="1"/>
      <c r="AY11" s="1"/>
      <c r="AZ11" s="1"/>
      <c r="BA11" s="1">
        <v>0</v>
      </c>
      <c r="BB11" s="1">
        <v>0</v>
      </c>
      <c r="BC11" s="1">
        <v>0</v>
      </c>
      <c r="BD11" s="1">
        <v>16636674</v>
      </c>
      <c r="BE11" s="1" t="s">
        <v>4</v>
      </c>
      <c r="BF11" s="1" t="s">
        <v>5</v>
      </c>
      <c r="BG11" s="1">
        <v>12980716</v>
      </c>
      <c r="BH11" s="1">
        <v>0</v>
      </c>
      <c r="BI11" s="1">
        <v>1</v>
      </c>
      <c r="BJ11" s="1"/>
      <c r="BK11" s="1">
        <v>1</v>
      </c>
      <c r="BL11" s="1">
        <v>0</v>
      </c>
      <c r="BM11" s="1">
        <v>1</v>
      </c>
      <c r="BN11" s="1">
        <v>1</v>
      </c>
      <c r="BO11" s="1">
        <v>0</v>
      </c>
      <c r="BP11" s="1">
        <v>-1</v>
      </c>
      <c r="BQ11" s="1"/>
      <c r="BR11" s="1">
        <v>2</v>
      </c>
      <c r="BS11" s="1"/>
      <c r="BT11" s="1">
        <v>0</v>
      </c>
      <c r="BU11" s="1">
        <v>1</v>
      </c>
      <c r="BV11" s="1">
        <v>1</v>
      </c>
      <c r="BW11" s="1">
        <v>0</v>
      </c>
      <c r="BX11" s="1">
        <v>0</v>
      </c>
      <c r="BY11" s="1">
        <v>1</v>
      </c>
      <c r="BZ11" s="1">
        <v>0</v>
      </c>
      <c r="CA11" s="1">
        <v>15662372</v>
      </c>
      <c r="CB11" s="1">
        <v>15662368</v>
      </c>
      <c r="CC11" s="1">
        <v>15662366</v>
      </c>
      <c r="CD11" s="1">
        <v>15662364</v>
      </c>
      <c r="CE11" s="1">
        <v>0</v>
      </c>
      <c r="CF11" s="1">
        <v>0</v>
      </c>
      <c r="CG11" s="1" t="s">
        <v>2</v>
      </c>
      <c r="CH11" s="1" t="s">
        <v>2</v>
      </c>
      <c r="CI11" s="1" t="s">
        <v>2</v>
      </c>
      <c r="CJ11" s="1">
        <v>0</v>
      </c>
      <c r="CK11" s="1">
        <v>1399454</v>
      </c>
      <c r="CL11" s="1" t="s">
        <v>6</v>
      </c>
      <c r="CM11" s="1" t="s">
        <v>7</v>
      </c>
      <c r="CN11" s="1" t="s">
        <v>8</v>
      </c>
      <c r="CO11" s="1" t="s">
        <v>8</v>
      </c>
      <c r="CP11" s="1" t="s">
        <v>8</v>
      </c>
      <c r="CQ11" s="1" t="s">
        <v>8</v>
      </c>
      <c r="CR11" s="1" t="s">
        <v>2</v>
      </c>
      <c r="CS11" s="1">
        <v>0</v>
      </c>
      <c r="CT11" s="1">
        <v>0</v>
      </c>
      <c r="CU11" s="1">
        <v>0</v>
      </c>
      <c r="CV11" s="1">
        <v>5740228</v>
      </c>
      <c r="CW11" s="1">
        <v>14237691</v>
      </c>
      <c r="CX11" s="1">
        <v>16538250</v>
      </c>
      <c r="CY11" s="1">
        <v>8</v>
      </c>
      <c r="CZ11" s="1" t="s">
        <v>2</v>
      </c>
    </row>
    <row r="14" spans="1:104" ht="12.75">
      <c r="A14" s="1">
        <v>15</v>
      </c>
      <c r="B14" s="1">
        <v>1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</row>
    <row r="17" spans="1:43" ht="12.75">
      <c r="A17" s="2">
        <v>52</v>
      </c>
      <c r="B17" s="2">
        <f aca="true" t="shared" si="0" ref="B17:AQ17">B44</f>
        <v>1</v>
      </c>
      <c r="C17" s="2">
        <f t="shared" si="0"/>
        <v>1</v>
      </c>
      <c r="D17" s="2">
        <f t="shared" si="0"/>
        <v>11</v>
      </c>
      <c r="E17" s="2">
        <f t="shared" si="0"/>
        <v>0</v>
      </c>
      <c r="F17" s="2" t="str">
        <f t="shared" si="0"/>
        <v>Новый объект</v>
      </c>
      <c r="G17" s="2" t="str">
        <f t="shared" si="0"/>
        <v>№153-31.05.16 С Смета на ремонт кровли(Гаврилов Филипп)</v>
      </c>
      <c r="H17" s="2">
        <f t="shared" si="0"/>
        <v>0</v>
      </c>
      <c r="I17" s="2">
        <f t="shared" si="0"/>
        <v>0</v>
      </c>
      <c r="J17" s="2">
        <f t="shared" si="0"/>
        <v>0</v>
      </c>
      <c r="K17" s="2">
        <f t="shared" si="0"/>
        <v>0</v>
      </c>
      <c r="L17" s="2">
        <f t="shared" si="0"/>
        <v>0</v>
      </c>
      <c r="M17" s="2">
        <f t="shared" si="0"/>
        <v>0</v>
      </c>
      <c r="N17" s="2">
        <f t="shared" si="0"/>
        <v>0</v>
      </c>
      <c r="O17" s="2">
        <f t="shared" si="0"/>
        <v>16949.26</v>
      </c>
      <c r="P17" s="2">
        <f t="shared" si="0"/>
        <v>10838.42</v>
      </c>
      <c r="Q17" s="2">
        <f t="shared" si="0"/>
        <v>358.83</v>
      </c>
      <c r="R17" s="2">
        <f t="shared" si="0"/>
        <v>66.13</v>
      </c>
      <c r="S17" s="2">
        <f t="shared" si="0"/>
        <v>5752.01</v>
      </c>
      <c r="T17" s="2">
        <f t="shared" si="0"/>
        <v>0</v>
      </c>
      <c r="U17" s="2">
        <f t="shared" si="0"/>
        <v>28.77</v>
      </c>
      <c r="V17" s="2">
        <f t="shared" si="0"/>
        <v>0.27</v>
      </c>
      <c r="W17" s="2">
        <f t="shared" si="0"/>
        <v>0</v>
      </c>
      <c r="X17" s="2">
        <f t="shared" si="0"/>
        <v>4928.93</v>
      </c>
      <c r="Y17" s="2">
        <f t="shared" si="0"/>
        <v>3545.54</v>
      </c>
      <c r="Z17" s="2">
        <f t="shared" si="0"/>
        <v>0</v>
      </c>
      <c r="AA17" s="2">
        <f t="shared" si="0"/>
        <v>0</v>
      </c>
      <c r="AB17" s="2">
        <f t="shared" si="0"/>
        <v>0</v>
      </c>
      <c r="AC17" s="2">
        <f t="shared" si="0"/>
        <v>0</v>
      </c>
      <c r="AD17" s="2">
        <f t="shared" si="0"/>
        <v>0</v>
      </c>
      <c r="AE17" s="2">
        <f t="shared" si="0"/>
        <v>0</v>
      </c>
      <c r="AF17" s="2">
        <f t="shared" si="0"/>
        <v>0</v>
      </c>
      <c r="AG17" s="2">
        <f t="shared" si="0"/>
        <v>0</v>
      </c>
      <c r="AH17" s="2">
        <f t="shared" si="0"/>
        <v>0</v>
      </c>
      <c r="AI17" s="2">
        <f t="shared" si="0"/>
        <v>0</v>
      </c>
      <c r="AJ17" s="2">
        <f t="shared" si="0"/>
        <v>0</v>
      </c>
      <c r="AK17" s="2">
        <f t="shared" si="0"/>
        <v>0</v>
      </c>
      <c r="AL17" s="2">
        <f t="shared" si="0"/>
        <v>0</v>
      </c>
      <c r="AM17" s="2">
        <f t="shared" si="0"/>
        <v>0</v>
      </c>
      <c r="AN17" s="2">
        <f t="shared" si="0"/>
        <v>0</v>
      </c>
      <c r="AO17" s="2">
        <f t="shared" si="0"/>
        <v>0</v>
      </c>
      <c r="AP17" s="2">
        <f t="shared" si="0"/>
        <v>0</v>
      </c>
      <c r="AQ17" s="2">
        <f t="shared" si="0"/>
        <v>0</v>
      </c>
    </row>
    <row r="18" ht="12.75">
      <c r="G18">
        <v>0</v>
      </c>
    </row>
    <row r="19" spans="1:67" ht="12.75">
      <c r="A19" s="1">
        <v>3</v>
      </c>
      <c r="B19" s="1">
        <v>1</v>
      </c>
      <c r="C19" s="1"/>
      <c r="D19" s="1">
        <f>ROW(A28)</f>
        <v>28</v>
      </c>
      <c r="E19" s="1"/>
      <c r="F19" s="1" t="s">
        <v>9</v>
      </c>
      <c r="G19" s="1" t="s">
        <v>10</v>
      </c>
      <c r="H19" s="1"/>
      <c r="I19" s="1"/>
      <c r="J19" s="1" t="s">
        <v>2</v>
      </c>
      <c r="K19" s="1"/>
      <c r="L19" s="1"/>
      <c r="M19" s="1"/>
      <c r="N19" s="1" t="s">
        <v>2</v>
      </c>
      <c r="O19" s="1"/>
      <c r="P19" s="1"/>
      <c r="Q19" s="1"/>
      <c r="R19" s="1" t="s">
        <v>2</v>
      </c>
      <c r="S19" s="1" t="s">
        <v>2</v>
      </c>
      <c r="T19" s="1" t="s">
        <v>2</v>
      </c>
      <c r="U19" s="1" t="s">
        <v>2</v>
      </c>
      <c r="V19" s="1"/>
      <c r="W19" s="1"/>
      <c r="X19" s="1">
        <v>0</v>
      </c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>
        <v>0</v>
      </c>
      <c r="AK19" s="1">
        <v>0</v>
      </c>
      <c r="AL19" s="1">
        <v>0</v>
      </c>
      <c r="AM19" s="1"/>
      <c r="AN19" s="1"/>
      <c r="AO19" s="1" t="s">
        <v>2</v>
      </c>
      <c r="AP19" s="1" t="s">
        <v>2</v>
      </c>
      <c r="AQ19" s="1" t="s">
        <v>2</v>
      </c>
      <c r="AR19" s="1"/>
      <c r="AS19" s="1"/>
      <c r="AT19" s="1" t="s">
        <v>2</v>
      </c>
      <c r="AU19" s="1" t="s">
        <v>2</v>
      </c>
      <c r="AV19" s="1" t="s">
        <v>2</v>
      </c>
      <c r="AW19" s="1" t="s">
        <v>2</v>
      </c>
      <c r="AX19" s="1" t="s">
        <v>2</v>
      </c>
      <c r="AY19" s="1" t="s">
        <v>2</v>
      </c>
      <c r="AZ19" s="1" t="s">
        <v>2</v>
      </c>
      <c r="BA19" s="1" t="s">
        <v>2</v>
      </c>
      <c r="BB19" s="1" t="s">
        <v>2</v>
      </c>
      <c r="BC19" s="1" t="s">
        <v>2</v>
      </c>
      <c r="BD19" s="1" t="s">
        <v>2</v>
      </c>
      <c r="BE19" s="1" t="s">
        <v>11</v>
      </c>
      <c r="BF19" s="1">
        <v>0</v>
      </c>
      <c r="BG19" s="1">
        <v>0</v>
      </c>
      <c r="BH19" s="1" t="s">
        <v>2</v>
      </c>
      <c r="BI19" s="1" t="s">
        <v>2</v>
      </c>
      <c r="BJ19" s="1" t="s">
        <v>2</v>
      </c>
      <c r="BK19" s="1" t="s">
        <v>2</v>
      </c>
      <c r="BL19" s="1" t="s">
        <v>2</v>
      </c>
      <c r="BM19" s="1">
        <v>0</v>
      </c>
      <c r="BN19" s="1" t="s">
        <v>2</v>
      </c>
      <c r="BO19" s="1" t="s">
        <v>2</v>
      </c>
    </row>
    <row r="21" spans="1:43" ht="12.75">
      <c r="A21" s="2">
        <v>52</v>
      </c>
      <c r="B21" s="2">
        <f aca="true" t="shared" si="1" ref="B21:AQ21">B28</f>
        <v>1</v>
      </c>
      <c r="C21" s="2">
        <f t="shared" si="1"/>
        <v>3</v>
      </c>
      <c r="D21" s="2">
        <f t="shared" si="1"/>
        <v>19</v>
      </c>
      <c r="E21" s="2">
        <f t="shared" si="1"/>
        <v>0</v>
      </c>
      <c r="F21" s="2" t="str">
        <f t="shared" si="1"/>
        <v>Новая локальная смета</v>
      </c>
      <c r="G21" s="2" t="str">
        <f t="shared" si="1"/>
        <v>ремонт кровли</v>
      </c>
      <c r="H21" s="2">
        <f t="shared" si="1"/>
        <v>0</v>
      </c>
      <c r="I21" s="2">
        <f t="shared" si="1"/>
        <v>0</v>
      </c>
      <c r="J21" s="2">
        <f t="shared" si="1"/>
        <v>0</v>
      </c>
      <c r="K21" s="2">
        <f t="shared" si="1"/>
        <v>0</v>
      </c>
      <c r="L21" s="2">
        <f t="shared" si="1"/>
        <v>0</v>
      </c>
      <c r="M21" s="2">
        <f t="shared" si="1"/>
        <v>0</v>
      </c>
      <c r="N21" s="2">
        <f t="shared" si="1"/>
        <v>0</v>
      </c>
      <c r="O21" s="2">
        <f t="shared" si="1"/>
        <v>16949.26</v>
      </c>
      <c r="P21" s="2">
        <f t="shared" si="1"/>
        <v>10838.42</v>
      </c>
      <c r="Q21" s="2">
        <f t="shared" si="1"/>
        <v>358.83</v>
      </c>
      <c r="R21" s="2">
        <f t="shared" si="1"/>
        <v>66.13</v>
      </c>
      <c r="S21" s="2">
        <f t="shared" si="1"/>
        <v>5752.01</v>
      </c>
      <c r="T21" s="2">
        <f t="shared" si="1"/>
        <v>0</v>
      </c>
      <c r="U21" s="2">
        <f t="shared" si="1"/>
        <v>28.77</v>
      </c>
      <c r="V21" s="2">
        <f t="shared" si="1"/>
        <v>0.27</v>
      </c>
      <c r="W21" s="2">
        <f t="shared" si="1"/>
        <v>0</v>
      </c>
      <c r="X21" s="2">
        <f t="shared" si="1"/>
        <v>4928.93</v>
      </c>
      <c r="Y21" s="2">
        <f t="shared" si="1"/>
        <v>3545.54</v>
      </c>
      <c r="Z21" s="2">
        <f t="shared" si="1"/>
        <v>0</v>
      </c>
      <c r="AA21" s="2">
        <f t="shared" si="1"/>
        <v>0</v>
      </c>
      <c r="AB21" s="2">
        <f t="shared" si="1"/>
        <v>16949.26</v>
      </c>
      <c r="AC21" s="2">
        <f t="shared" si="1"/>
        <v>10838.42</v>
      </c>
      <c r="AD21" s="2">
        <f t="shared" si="1"/>
        <v>358.83</v>
      </c>
      <c r="AE21" s="2">
        <f t="shared" si="1"/>
        <v>66.13</v>
      </c>
      <c r="AF21" s="2">
        <f t="shared" si="1"/>
        <v>5752.01</v>
      </c>
      <c r="AG21" s="2">
        <f t="shared" si="1"/>
        <v>0</v>
      </c>
      <c r="AH21" s="2">
        <f t="shared" si="1"/>
        <v>28.77</v>
      </c>
      <c r="AI21" s="2">
        <f t="shared" si="1"/>
        <v>0.27</v>
      </c>
      <c r="AJ21" s="2">
        <f t="shared" si="1"/>
        <v>0</v>
      </c>
      <c r="AK21" s="2">
        <f t="shared" si="1"/>
        <v>4928.93</v>
      </c>
      <c r="AL21" s="2">
        <f t="shared" si="1"/>
        <v>3545.54</v>
      </c>
      <c r="AM21" s="2">
        <f t="shared" si="1"/>
        <v>0</v>
      </c>
      <c r="AN21" s="2">
        <f t="shared" si="1"/>
        <v>0</v>
      </c>
      <c r="AO21" s="2">
        <f t="shared" si="1"/>
        <v>0</v>
      </c>
      <c r="AP21" s="2">
        <f t="shared" si="1"/>
        <v>0</v>
      </c>
      <c r="AQ21" s="2">
        <f t="shared" si="1"/>
        <v>0</v>
      </c>
    </row>
    <row r="23" spans="1:181" ht="12.75">
      <c r="A23">
        <v>17</v>
      </c>
      <c r="B23">
        <v>1</v>
      </c>
      <c r="C23">
        <f>ROW(SmtRes!A8)</f>
        <v>8</v>
      </c>
      <c r="D23">
        <f>ROW(EtalonRes!A8)</f>
        <v>8</v>
      </c>
      <c r="E23" t="s">
        <v>12</v>
      </c>
      <c r="F23" t="s">
        <v>13</v>
      </c>
      <c r="G23" t="s">
        <v>14</v>
      </c>
      <c r="H23" t="s">
        <v>15</v>
      </c>
      <c r="I23">
        <v>0.1</v>
      </c>
      <c r="J23">
        <v>0</v>
      </c>
      <c r="O23">
        <f>ROUND(CP23,2)</f>
        <v>3737.49</v>
      </c>
      <c r="P23">
        <f>ROUND(CQ23*I23,2)</f>
        <v>661.4</v>
      </c>
      <c r="Q23">
        <f>ROUND(CR23*I23,2)</f>
        <v>98.11</v>
      </c>
      <c r="R23">
        <f>ROUND(CS23*I23,2)</f>
        <v>35.91</v>
      </c>
      <c r="S23">
        <f>ROUND(CT23*I23,2)</f>
        <v>2977.98</v>
      </c>
      <c r="T23">
        <f>ROUND(CU23*I23,2)</f>
        <v>0</v>
      </c>
      <c r="U23">
        <f>CV23*I23</f>
        <v>14.9385</v>
      </c>
      <c r="V23">
        <f>CW23*I23</f>
        <v>0.15869999999999998</v>
      </c>
      <c r="W23">
        <f>ROUND(CX23*I23,2)</f>
        <v>0</v>
      </c>
      <c r="X23">
        <f>ROUND(CY23,2)-0.07</f>
        <v>2501.46</v>
      </c>
      <c r="Y23">
        <f aca="true" t="shared" si="2" ref="X23:Y26">ROUND(CZ23,2)</f>
        <v>1959.03</v>
      </c>
      <c r="AA23">
        <v>0</v>
      </c>
      <c r="AB23">
        <f>(AC23+AD23+AF23)</f>
        <v>2524.986</v>
      </c>
      <c r="AC23">
        <f>(ES23)</f>
        <v>1121.02</v>
      </c>
      <c r="AD23">
        <f aca="true" t="shared" si="3" ref="AD23:AF24">((ET23*1.15))</f>
        <v>80.4195</v>
      </c>
      <c r="AE23">
        <f t="shared" si="3"/>
        <v>15.962</v>
      </c>
      <c r="AF23">
        <f t="shared" si="3"/>
        <v>1323.5465</v>
      </c>
      <c r="AG23">
        <f>(AP23)</f>
        <v>0</v>
      </c>
      <c r="AH23">
        <f>((EW23*1.15))</f>
        <v>149.385</v>
      </c>
      <c r="AI23">
        <f>((EX23*1.15))</f>
        <v>1.5869999999999997</v>
      </c>
      <c r="AJ23">
        <f>(AS23)</f>
        <v>0</v>
      </c>
      <c r="AK23">
        <v>2341.86</v>
      </c>
      <c r="AL23">
        <v>1121.02</v>
      </c>
      <c r="AM23">
        <v>69.93</v>
      </c>
      <c r="AN23">
        <v>13.88</v>
      </c>
      <c r="AO23">
        <v>1150.91</v>
      </c>
      <c r="AP23">
        <v>0</v>
      </c>
      <c r="AQ23">
        <v>129.9</v>
      </c>
      <c r="AR23">
        <v>1.38</v>
      </c>
      <c r="AS23">
        <v>0</v>
      </c>
      <c r="AT23">
        <v>83</v>
      </c>
      <c r="AU23">
        <v>65</v>
      </c>
      <c r="AV23">
        <v>1</v>
      </c>
      <c r="AW23">
        <v>1</v>
      </c>
      <c r="AX23">
        <v>1</v>
      </c>
      <c r="AY23">
        <v>1</v>
      </c>
      <c r="AZ23">
        <v>1</v>
      </c>
      <c r="BA23">
        <v>22.5</v>
      </c>
      <c r="BB23">
        <v>12.2</v>
      </c>
      <c r="BC23">
        <v>5.9</v>
      </c>
      <c r="BH23">
        <v>0</v>
      </c>
      <c r="BI23">
        <v>1</v>
      </c>
      <c r="BJ23" t="s">
        <v>16</v>
      </c>
      <c r="BM23">
        <v>58001</v>
      </c>
      <c r="BN23">
        <v>0</v>
      </c>
      <c r="BO23" t="s">
        <v>13</v>
      </c>
      <c r="BP23">
        <v>1</v>
      </c>
      <c r="BQ23">
        <v>6</v>
      </c>
      <c r="BR23">
        <v>0</v>
      </c>
      <c r="BS23">
        <v>22.5</v>
      </c>
      <c r="BT23">
        <v>1</v>
      </c>
      <c r="BU23">
        <v>1</v>
      </c>
      <c r="BV23">
        <v>1</v>
      </c>
      <c r="BW23">
        <v>1</v>
      </c>
      <c r="BX23">
        <v>1</v>
      </c>
      <c r="BZ23">
        <v>83</v>
      </c>
      <c r="CA23">
        <v>65</v>
      </c>
      <c r="CF23">
        <v>0</v>
      </c>
      <c r="CG23">
        <v>0</v>
      </c>
      <c r="CM23">
        <v>0</v>
      </c>
      <c r="CN23" t="s">
        <v>135</v>
      </c>
      <c r="CO23">
        <v>0</v>
      </c>
      <c r="CP23">
        <f>(P23+Q23+S23)</f>
        <v>3737.49</v>
      </c>
      <c r="CQ23">
        <f>(AC23)*BC23</f>
        <v>6614.018</v>
      </c>
      <c r="CR23">
        <f>(AD23)*BB23</f>
        <v>981.1179</v>
      </c>
      <c r="CS23">
        <f>(AE23)*BS23</f>
        <v>359.145</v>
      </c>
      <c r="CT23">
        <f>(AF23)*BA23</f>
        <v>29779.79625</v>
      </c>
      <c r="CU23">
        <f aca="true" t="shared" si="4" ref="CU23:CX26">(AG23)*BT23</f>
        <v>0</v>
      </c>
      <c r="CV23">
        <f t="shared" si="4"/>
        <v>149.385</v>
      </c>
      <c r="CW23">
        <f t="shared" si="4"/>
        <v>1.5869999999999997</v>
      </c>
      <c r="CX23">
        <f t="shared" si="4"/>
        <v>0</v>
      </c>
      <c r="CY23">
        <f>(((S23+R23)*FX23)/100)</f>
        <v>2501.5287</v>
      </c>
      <c r="CZ23">
        <f>(((S23+R23)*FY23)/100)</f>
        <v>1959.0285000000001</v>
      </c>
      <c r="DE23" t="s">
        <v>17</v>
      </c>
      <c r="DF23" t="s">
        <v>17</v>
      </c>
      <c r="DG23" t="s">
        <v>17</v>
      </c>
      <c r="DI23" t="s">
        <v>17</v>
      </c>
      <c r="DJ23" t="s">
        <v>17</v>
      </c>
      <c r="DN23">
        <v>0</v>
      </c>
      <c r="DO23">
        <v>0</v>
      </c>
      <c r="DP23">
        <v>1</v>
      </c>
      <c r="DQ23">
        <v>1</v>
      </c>
      <c r="DR23">
        <v>1</v>
      </c>
      <c r="DS23">
        <v>1</v>
      </c>
      <c r="DT23">
        <v>1</v>
      </c>
      <c r="DU23">
        <v>1010</v>
      </c>
      <c r="DV23" t="s">
        <v>15</v>
      </c>
      <c r="DW23" t="s">
        <v>18</v>
      </c>
      <c r="DX23">
        <v>100</v>
      </c>
      <c r="EE23">
        <v>13267084</v>
      </c>
      <c r="EF23">
        <v>6</v>
      </c>
      <c r="EG23" t="s">
        <v>19</v>
      </c>
      <c r="EH23">
        <v>0</v>
      </c>
      <c r="EJ23">
        <v>1</v>
      </c>
      <c r="EK23">
        <v>58001</v>
      </c>
      <c r="EL23" t="s">
        <v>20</v>
      </c>
      <c r="EM23" t="s">
        <v>21</v>
      </c>
      <c r="EO23" t="s">
        <v>22</v>
      </c>
      <c r="EQ23">
        <v>0</v>
      </c>
      <c r="ER23">
        <v>2341.86</v>
      </c>
      <c r="ES23">
        <v>1121.02</v>
      </c>
      <c r="ET23">
        <v>69.93</v>
      </c>
      <c r="EU23">
        <v>13.88</v>
      </c>
      <c r="EV23">
        <v>1150.91</v>
      </c>
      <c r="EW23">
        <v>129.9</v>
      </c>
      <c r="EX23">
        <v>1.38</v>
      </c>
      <c r="EY23">
        <v>0</v>
      </c>
      <c r="EZ23">
        <v>0</v>
      </c>
      <c r="FQ23">
        <v>0</v>
      </c>
      <c r="FR23">
        <f>ROUND(IF(AND(AA23=0,BI23=3),P23,0),2)</f>
        <v>0</v>
      </c>
      <c r="FS23">
        <v>0</v>
      </c>
      <c r="FX23">
        <v>83</v>
      </c>
      <c r="FY23">
        <v>65</v>
      </c>
    </row>
    <row r="24" spans="1:181" ht="12.75">
      <c r="A24">
        <v>17</v>
      </c>
      <c r="B24">
        <v>1</v>
      </c>
      <c r="C24">
        <f>ROW(SmtRes!A16)</f>
        <v>16</v>
      </c>
      <c r="D24">
        <f>ROW(EtalonRes!A16)</f>
        <v>16</v>
      </c>
      <c r="E24" t="s">
        <v>23</v>
      </c>
      <c r="F24" t="s">
        <v>24</v>
      </c>
      <c r="G24" t="s">
        <v>25</v>
      </c>
      <c r="H24" t="s">
        <v>26</v>
      </c>
      <c r="I24">
        <v>0.17</v>
      </c>
      <c r="J24">
        <v>0</v>
      </c>
      <c r="O24">
        <f>ROUND(CP24,2)</f>
        <v>3706.75</v>
      </c>
      <c r="P24">
        <f>ROUND(CQ24*I24,2)</f>
        <v>1977.52</v>
      </c>
      <c r="Q24">
        <f>ROUND(CR24*I24,2)</f>
        <v>74.55</v>
      </c>
      <c r="R24">
        <f>ROUND(CS24*I24,2)</f>
        <v>13.77</v>
      </c>
      <c r="S24">
        <f>ROUND(CT24*I24,2)</f>
        <v>1654.68</v>
      </c>
      <c r="T24">
        <f>ROUND(CU24*I24,2)</f>
        <v>0</v>
      </c>
      <c r="U24">
        <f>CV24*I24</f>
        <v>8.41432</v>
      </c>
      <c r="V24">
        <f>CW24*I24</f>
        <v>0.052785000000000006</v>
      </c>
      <c r="W24">
        <f>ROUND(CX24*I24,2)</f>
        <v>0</v>
      </c>
      <c r="X24">
        <f t="shared" si="2"/>
        <v>1384.81</v>
      </c>
      <c r="Y24">
        <f t="shared" si="2"/>
        <v>1084.49</v>
      </c>
      <c r="AA24">
        <v>0</v>
      </c>
      <c r="AB24">
        <f>(AC24+AD24+AF24)</f>
        <v>2444.05</v>
      </c>
      <c r="AC24">
        <f>(ES24)</f>
        <v>1932.3</v>
      </c>
      <c r="AD24">
        <f t="shared" si="3"/>
        <v>79.1545</v>
      </c>
      <c r="AE24">
        <f t="shared" si="3"/>
        <v>3.5994999999999995</v>
      </c>
      <c r="AF24">
        <f t="shared" si="3"/>
        <v>432.59549999999996</v>
      </c>
      <c r="AG24">
        <f>(AP24)</f>
        <v>0</v>
      </c>
      <c r="AH24">
        <f>((EW24*1.15))</f>
        <v>49.495999999999995</v>
      </c>
      <c r="AI24">
        <f>((EX24*1.15))</f>
        <v>0.3105</v>
      </c>
      <c r="AJ24">
        <f>(AS24)</f>
        <v>0</v>
      </c>
      <c r="AK24">
        <v>2377.2999999999997</v>
      </c>
      <c r="AL24">
        <v>1932.3</v>
      </c>
      <c r="AM24">
        <v>68.83</v>
      </c>
      <c r="AN24">
        <v>3.13</v>
      </c>
      <c r="AO24">
        <v>376.17</v>
      </c>
      <c r="AP24">
        <v>0</v>
      </c>
      <c r="AQ24">
        <v>43.04</v>
      </c>
      <c r="AR24">
        <v>0.27</v>
      </c>
      <c r="AS24">
        <v>0</v>
      </c>
      <c r="AT24">
        <v>83</v>
      </c>
      <c r="AU24">
        <v>65</v>
      </c>
      <c r="AV24">
        <v>1</v>
      </c>
      <c r="AW24">
        <v>1</v>
      </c>
      <c r="AX24">
        <v>1</v>
      </c>
      <c r="AY24">
        <v>1</v>
      </c>
      <c r="AZ24">
        <v>1</v>
      </c>
      <c r="BA24">
        <v>22.5</v>
      </c>
      <c r="BB24">
        <v>5.54</v>
      </c>
      <c r="BC24">
        <v>6.02</v>
      </c>
      <c r="BH24">
        <v>0</v>
      </c>
      <c r="BI24">
        <v>1</v>
      </c>
      <c r="BJ24" t="s">
        <v>27</v>
      </c>
      <c r="BM24">
        <v>58001</v>
      </c>
      <c r="BN24">
        <v>0</v>
      </c>
      <c r="BO24" t="s">
        <v>24</v>
      </c>
      <c r="BP24">
        <v>1</v>
      </c>
      <c r="BQ24">
        <v>6</v>
      </c>
      <c r="BR24">
        <v>0</v>
      </c>
      <c r="BS24">
        <v>22.5</v>
      </c>
      <c r="BT24">
        <v>1</v>
      </c>
      <c r="BU24">
        <v>1</v>
      </c>
      <c r="BV24">
        <v>1</v>
      </c>
      <c r="BW24">
        <v>1</v>
      </c>
      <c r="BX24">
        <v>1</v>
      </c>
      <c r="BZ24">
        <v>83</v>
      </c>
      <c r="CA24">
        <v>65</v>
      </c>
      <c r="CF24">
        <v>0</v>
      </c>
      <c r="CG24">
        <v>0</v>
      </c>
      <c r="CM24">
        <v>0</v>
      </c>
      <c r="CN24" t="s">
        <v>135</v>
      </c>
      <c r="CO24">
        <v>0</v>
      </c>
      <c r="CP24">
        <f>(P24+Q24+S24)</f>
        <v>3706.75</v>
      </c>
      <c r="CQ24">
        <f>(AC24)*BC24</f>
        <v>11632.445999999998</v>
      </c>
      <c r="CR24">
        <f>(AD24)*BB24</f>
        <v>438.51592999999997</v>
      </c>
      <c r="CS24">
        <f>(AE24)*BS24</f>
        <v>80.98874999999998</v>
      </c>
      <c r="CT24">
        <f>(AF24)*BA24</f>
        <v>9733.398749999998</v>
      </c>
      <c r="CU24">
        <f t="shared" si="4"/>
        <v>0</v>
      </c>
      <c r="CV24">
        <f t="shared" si="4"/>
        <v>49.495999999999995</v>
      </c>
      <c r="CW24">
        <f t="shared" si="4"/>
        <v>0.3105</v>
      </c>
      <c r="CX24">
        <f t="shared" si="4"/>
        <v>0</v>
      </c>
      <c r="CY24">
        <f>(((S24+R24)*FX24)/100)</f>
        <v>1384.8135</v>
      </c>
      <c r="CZ24">
        <f>(((S24+R24)*FY24)/100)</f>
        <v>1084.4925</v>
      </c>
      <c r="DE24" t="s">
        <v>17</v>
      </c>
      <c r="DF24" t="s">
        <v>17</v>
      </c>
      <c r="DG24" t="s">
        <v>17</v>
      </c>
      <c r="DI24" t="s">
        <v>17</v>
      </c>
      <c r="DJ24" t="s">
        <v>17</v>
      </c>
      <c r="DN24">
        <v>0</v>
      </c>
      <c r="DO24">
        <v>0</v>
      </c>
      <c r="DP24">
        <v>1</v>
      </c>
      <c r="DQ24">
        <v>1</v>
      </c>
      <c r="DR24">
        <v>1</v>
      </c>
      <c r="DS24">
        <v>1</v>
      </c>
      <c r="DT24">
        <v>1</v>
      </c>
      <c r="DU24">
        <v>1005</v>
      </c>
      <c r="DV24" t="s">
        <v>26</v>
      </c>
      <c r="DW24" t="s">
        <v>28</v>
      </c>
      <c r="DX24">
        <v>100</v>
      </c>
      <c r="EE24">
        <v>13267084</v>
      </c>
      <c r="EF24">
        <v>6</v>
      </c>
      <c r="EG24" t="s">
        <v>19</v>
      </c>
      <c r="EH24">
        <v>0</v>
      </c>
      <c r="EJ24">
        <v>1</v>
      </c>
      <c r="EK24">
        <v>58001</v>
      </c>
      <c r="EL24" t="s">
        <v>20</v>
      </c>
      <c r="EM24" t="s">
        <v>21</v>
      </c>
      <c r="EO24" t="s">
        <v>22</v>
      </c>
      <c r="EQ24">
        <v>0</v>
      </c>
      <c r="ER24">
        <v>2377.3</v>
      </c>
      <c r="ES24">
        <v>1932.3</v>
      </c>
      <c r="ET24">
        <v>68.83</v>
      </c>
      <c r="EU24">
        <v>3.13</v>
      </c>
      <c r="EV24">
        <v>376.17</v>
      </c>
      <c r="EW24">
        <v>43.04</v>
      </c>
      <c r="EX24">
        <v>0.27</v>
      </c>
      <c r="EY24">
        <v>0</v>
      </c>
      <c r="EZ24">
        <v>0</v>
      </c>
      <c r="FQ24">
        <v>0</v>
      </c>
      <c r="FR24">
        <f>ROUND(IF(AND(AA24=0,BI24=3),P24,0),2)</f>
        <v>0</v>
      </c>
      <c r="FS24">
        <v>0</v>
      </c>
      <c r="FX24">
        <v>83</v>
      </c>
      <c r="FY24">
        <v>65</v>
      </c>
    </row>
    <row r="25" spans="1:181" ht="12.75">
      <c r="A25">
        <v>18</v>
      </c>
      <c r="B25">
        <v>1</v>
      </c>
      <c r="C25">
        <v>15</v>
      </c>
      <c r="E25" t="s">
        <v>29</v>
      </c>
      <c r="F25" t="s">
        <v>30</v>
      </c>
      <c r="G25" t="s">
        <v>31</v>
      </c>
      <c r="H25" t="s">
        <v>32</v>
      </c>
      <c r="I25">
        <f>I24*J25</f>
        <v>39.624</v>
      </c>
      <c r="J25">
        <v>233.08235294117648</v>
      </c>
      <c r="O25">
        <f>ROUND(CP25,2)</f>
        <v>6017.78</v>
      </c>
      <c r="P25">
        <f>ROUND(CQ25*I25,2)</f>
        <v>6017.78</v>
      </c>
      <c r="Q25">
        <f>ROUND(CR25*I25,2)</f>
        <v>0</v>
      </c>
      <c r="R25">
        <f>ROUND(CS25*I25,2)</f>
        <v>0</v>
      </c>
      <c r="S25">
        <f>ROUND(CT25*I25,2)</f>
        <v>0</v>
      </c>
      <c r="T25">
        <f>ROUND(CU25*I25,2)</f>
        <v>0</v>
      </c>
      <c r="U25">
        <f>CV25*I25</f>
        <v>0</v>
      </c>
      <c r="V25">
        <f>CW25*I25</f>
        <v>0</v>
      </c>
      <c r="W25">
        <f>ROUND(CX25*I25,2)</f>
        <v>0</v>
      </c>
      <c r="X25">
        <f t="shared" si="2"/>
        <v>0</v>
      </c>
      <c r="Y25">
        <f t="shared" si="2"/>
        <v>0</v>
      </c>
      <c r="AA25">
        <v>0</v>
      </c>
      <c r="AB25">
        <f>(AC25+AD25+AF25)</f>
        <v>45.2</v>
      </c>
      <c r="AC25">
        <f>AL25</f>
        <v>45.2</v>
      </c>
      <c r="AD25">
        <f>(AM25*1.15)</f>
        <v>0</v>
      </c>
      <c r="AE25">
        <f>(AN25*1.15)</f>
        <v>0</v>
      </c>
      <c r="AF25">
        <f>(AO25*1.15)</f>
        <v>0</v>
      </c>
      <c r="AG25">
        <f>AP25</f>
        <v>0</v>
      </c>
      <c r="AH25">
        <f>(AQ25*1.15)</f>
        <v>0</v>
      </c>
      <c r="AI25">
        <f>(AR25*1.15)</f>
        <v>0</v>
      </c>
      <c r="AJ25">
        <f>AS25</f>
        <v>0</v>
      </c>
      <c r="AK25">
        <v>45.2</v>
      </c>
      <c r="AL25">
        <v>45.2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  <c r="AS25">
        <v>0</v>
      </c>
      <c r="AT25">
        <v>83</v>
      </c>
      <c r="AU25">
        <v>65</v>
      </c>
      <c r="AV25">
        <v>1</v>
      </c>
      <c r="AW25">
        <v>1</v>
      </c>
      <c r="AX25">
        <v>1</v>
      </c>
      <c r="AY25">
        <v>1</v>
      </c>
      <c r="AZ25">
        <v>1</v>
      </c>
      <c r="BA25">
        <v>1</v>
      </c>
      <c r="BB25">
        <v>1</v>
      </c>
      <c r="BC25">
        <v>3.36</v>
      </c>
      <c r="BH25">
        <v>3</v>
      </c>
      <c r="BI25">
        <v>1</v>
      </c>
      <c r="BJ25" t="s">
        <v>33</v>
      </c>
      <c r="BM25">
        <v>58001</v>
      </c>
      <c r="BN25">
        <v>0</v>
      </c>
      <c r="BO25" t="s">
        <v>30</v>
      </c>
      <c r="BP25">
        <v>1</v>
      </c>
      <c r="BQ25">
        <v>6</v>
      </c>
      <c r="BR25">
        <v>0</v>
      </c>
      <c r="BS25">
        <v>1</v>
      </c>
      <c r="BT25">
        <v>1</v>
      </c>
      <c r="BU25">
        <v>1</v>
      </c>
      <c r="BV25">
        <v>1</v>
      </c>
      <c r="BW25">
        <v>1</v>
      </c>
      <c r="BX25">
        <v>1</v>
      </c>
      <c r="BZ25">
        <v>83</v>
      </c>
      <c r="CA25">
        <v>65</v>
      </c>
      <c r="CF25">
        <v>0</v>
      </c>
      <c r="CG25">
        <v>0</v>
      </c>
      <c r="CM25">
        <v>0</v>
      </c>
      <c r="CN25" t="s">
        <v>135</v>
      </c>
      <c r="CO25">
        <v>0</v>
      </c>
      <c r="CP25">
        <f>(P25+Q25+S25)</f>
        <v>6017.78</v>
      </c>
      <c r="CQ25">
        <f>(AC25)*BC25</f>
        <v>151.872</v>
      </c>
      <c r="CR25">
        <f>(AD25)*BB25</f>
        <v>0</v>
      </c>
      <c r="CS25">
        <f>(AE25)*BS25</f>
        <v>0</v>
      </c>
      <c r="CT25">
        <f>(AF25)*BA25</f>
        <v>0</v>
      </c>
      <c r="CU25">
        <f t="shared" si="4"/>
        <v>0</v>
      </c>
      <c r="CV25">
        <f t="shared" si="4"/>
        <v>0</v>
      </c>
      <c r="CW25">
        <f t="shared" si="4"/>
        <v>0</v>
      </c>
      <c r="CX25">
        <f t="shared" si="4"/>
        <v>0</v>
      </c>
      <c r="CY25">
        <f>(((S25+R25)*FX25)/100)</f>
        <v>0</v>
      </c>
      <c r="CZ25">
        <f>(((S25+R25)*FY25)/100)</f>
        <v>0</v>
      </c>
      <c r="DE25" t="s">
        <v>17</v>
      </c>
      <c r="DF25" t="s">
        <v>17</v>
      </c>
      <c r="DG25" t="s">
        <v>17</v>
      </c>
      <c r="DI25" t="s">
        <v>17</v>
      </c>
      <c r="DJ25" t="s">
        <v>17</v>
      </c>
      <c r="DN25">
        <v>0</v>
      </c>
      <c r="DO25">
        <v>0</v>
      </c>
      <c r="DP25">
        <v>1</v>
      </c>
      <c r="DQ25">
        <v>1</v>
      </c>
      <c r="DR25">
        <v>1</v>
      </c>
      <c r="DS25">
        <v>1</v>
      </c>
      <c r="DT25">
        <v>1</v>
      </c>
      <c r="DU25">
        <v>1005</v>
      </c>
      <c r="DV25" t="s">
        <v>32</v>
      </c>
      <c r="DW25" t="s">
        <v>32</v>
      </c>
      <c r="DX25">
        <v>1</v>
      </c>
      <c r="EE25">
        <v>13267084</v>
      </c>
      <c r="EF25">
        <v>6</v>
      </c>
      <c r="EG25" t="s">
        <v>19</v>
      </c>
      <c r="EH25">
        <v>0</v>
      </c>
      <c r="EJ25">
        <v>1</v>
      </c>
      <c r="EK25">
        <v>58001</v>
      </c>
      <c r="EL25" t="s">
        <v>20</v>
      </c>
      <c r="EM25" t="s">
        <v>21</v>
      </c>
      <c r="EO25" t="s">
        <v>22</v>
      </c>
      <c r="EQ25">
        <v>0</v>
      </c>
      <c r="ER25">
        <v>45.2</v>
      </c>
      <c r="ES25">
        <v>45.2</v>
      </c>
      <c r="ET25">
        <v>0</v>
      </c>
      <c r="EU25">
        <v>0</v>
      </c>
      <c r="EV25">
        <v>0</v>
      </c>
      <c r="EW25">
        <v>0</v>
      </c>
      <c r="EX25">
        <v>0</v>
      </c>
      <c r="EZ25">
        <v>0</v>
      </c>
      <c r="FQ25">
        <v>0</v>
      </c>
      <c r="FR25">
        <f>ROUND(IF(AND(AA25=0,BI25=3),P25,0),2)</f>
        <v>0</v>
      </c>
      <c r="FS25">
        <v>0</v>
      </c>
      <c r="FX25">
        <v>83</v>
      </c>
      <c r="FY25">
        <v>65</v>
      </c>
    </row>
    <row r="26" spans="1:181" ht="12.75">
      <c r="A26">
        <v>17</v>
      </c>
      <c r="B26">
        <v>1</v>
      </c>
      <c r="C26">
        <f>ROW(SmtRes!A25)</f>
        <v>25</v>
      </c>
      <c r="D26">
        <f>ROW(EtalonRes!A25)</f>
        <v>25</v>
      </c>
      <c r="E26" t="s">
        <v>34</v>
      </c>
      <c r="F26" t="s">
        <v>35</v>
      </c>
      <c r="G26" t="s">
        <v>36</v>
      </c>
      <c r="H26" t="s">
        <v>37</v>
      </c>
      <c r="I26">
        <v>0.157</v>
      </c>
      <c r="J26">
        <v>0</v>
      </c>
      <c r="O26">
        <f>ROUND(CP26,2)</f>
        <v>3487.24</v>
      </c>
      <c r="P26">
        <f>ROUND(CQ26*I26,2)</f>
        <v>2181.72</v>
      </c>
      <c r="Q26">
        <f>ROUND(CR26*I26,2)</f>
        <v>186.17</v>
      </c>
      <c r="R26">
        <f>ROUND(CS26*I26,2)</f>
        <v>16.45</v>
      </c>
      <c r="S26">
        <f>ROUND(CT26*I26,2)</f>
        <v>1119.35</v>
      </c>
      <c r="T26">
        <f>ROUND(CU26*I26,2)</f>
        <v>0</v>
      </c>
      <c r="U26">
        <f>CV26*I26</f>
        <v>5.41920825</v>
      </c>
      <c r="V26">
        <f>CW26*I26</f>
        <v>0.054165</v>
      </c>
      <c r="W26">
        <f>ROUND(CX26*I26,2)</f>
        <v>0</v>
      </c>
      <c r="X26">
        <f t="shared" si="2"/>
        <v>1042.66</v>
      </c>
      <c r="Y26">
        <f t="shared" si="2"/>
        <v>502.02</v>
      </c>
      <c r="AA26">
        <v>0</v>
      </c>
      <c r="AB26">
        <f>(AC26+AD26+AF26)</f>
        <v>2894.11475</v>
      </c>
      <c r="AC26">
        <f>(ES26)</f>
        <v>2316.05</v>
      </c>
      <c r="AD26">
        <f>(((ET26*1.25)*1.15))</f>
        <v>261.19374999999997</v>
      </c>
      <c r="AE26">
        <f>(((EU26*1.25)*1.15))</f>
        <v>4.657500000000001</v>
      </c>
      <c r="AF26">
        <f>(((EV26*1.15)*1.15))</f>
        <v>316.8709999999999</v>
      </c>
      <c r="AG26">
        <f>(AP26)</f>
        <v>0</v>
      </c>
      <c r="AH26">
        <f>(((EW26*1.15)*1.15))</f>
        <v>34.51725</v>
      </c>
      <c r="AI26">
        <f>(((EX26*1.25)*1.15))</f>
        <v>0.345</v>
      </c>
      <c r="AJ26">
        <f>(AS26)</f>
        <v>0</v>
      </c>
      <c r="AK26">
        <v>2737.35</v>
      </c>
      <c r="AL26">
        <v>2316.05</v>
      </c>
      <c r="AM26">
        <v>181.7</v>
      </c>
      <c r="AN26">
        <v>3.24</v>
      </c>
      <c r="AO26">
        <v>239.6</v>
      </c>
      <c r="AP26">
        <v>0</v>
      </c>
      <c r="AQ26">
        <v>26.1</v>
      </c>
      <c r="AR26">
        <v>0.24</v>
      </c>
      <c r="AS26">
        <v>0</v>
      </c>
      <c r="AT26">
        <v>91.8</v>
      </c>
      <c r="AU26">
        <v>44.2</v>
      </c>
      <c r="AV26">
        <v>1</v>
      </c>
      <c r="AW26">
        <v>1</v>
      </c>
      <c r="AX26">
        <v>1</v>
      </c>
      <c r="AY26">
        <v>1</v>
      </c>
      <c r="AZ26">
        <v>1</v>
      </c>
      <c r="BA26">
        <v>22.5</v>
      </c>
      <c r="BB26">
        <v>4.54</v>
      </c>
      <c r="BC26">
        <v>6</v>
      </c>
      <c r="BH26">
        <v>0</v>
      </c>
      <c r="BI26">
        <v>1</v>
      </c>
      <c r="BJ26" t="s">
        <v>38</v>
      </c>
      <c r="BM26">
        <v>12001</v>
      </c>
      <c r="BN26">
        <v>0</v>
      </c>
      <c r="BO26" t="s">
        <v>35</v>
      </c>
      <c r="BP26">
        <v>1</v>
      </c>
      <c r="BQ26">
        <v>2</v>
      </c>
      <c r="BR26">
        <v>0</v>
      </c>
      <c r="BS26">
        <v>22.5</v>
      </c>
      <c r="BT26">
        <v>1</v>
      </c>
      <c r="BU26">
        <v>1</v>
      </c>
      <c r="BV26">
        <v>1</v>
      </c>
      <c r="BW26">
        <v>1</v>
      </c>
      <c r="BX26">
        <v>1</v>
      </c>
      <c r="BZ26">
        <v>120</v>
      </c>
      <c r="CA26">
        <v>65</v>
      </c>
      <c r="CF26">
        <v>0</v>
      </c>
      <c r="CG26">
        <v>0</v>
      </c>
      <c r="CM26">
        <v>0</v>
      </c>
      <c r="CN26" t="s">
        <v>136</v>
      </c>
      <c r="CO26">
        <v>0</v>
      </c>
      <c r="CP26">
        <f>(P26+Q26+S26)</f>
        <v>3487.24</v>
      </c>
      <c r="CQ26">
        <f>(AC26)*BC26</f>
        <v>13896.300000000001</v>
      </c>
      <c r="CR26">
        <f>(AD26)*BB26</f>
        <v>1185.8196249999999</v>
      </c>
      <c r="CS26">
        <f>(AE26)*BS26</f>
        <v>104.79375000000002</v>
      </c>
      <c r="CT26">
        <f>(AF26)*BA26</f>
        <v>7129.597499999998</v>
      </c>
      <c r="CU26">
        <f t="shared" si="4"/>
        <v>0</v>
      </c>
      <c r="CV26">
        <f t="shared" si="4"/>
        <v>34.51725</v>
      </c>
      <c r="CW26">
        <f t="shared" si="4"/>
        <v>0.345</v>
      </c>
      <c r="CX26">
        <f t="shared" si="4"/>
        <v>0</v>
      </c>
      <c r="CY26">
        <f>(((S26+R26)*(FX26*IF((0=1),0.85,0.85)))/100)</f>
        <v>1042.6644</v>
      </c>
      <c r="CZ26">
        <f>(((S26+R26)*(FY26*0.8))/100)</f>
        <v>502.0236</v>
      </c>
      <c r="DE26" t="s">
        <v>39</v>
      </c>
      <c r="DF26" t="s">
        <v>39</v>
      </c>
      <c r="DG26" t="s">
        <v>40</v>
      </c>
      <c r="DI26" t="s">
        <v>40</v>
      </c>
      <c r="DJ26" t="s">
        <v>39</v>
      </c>
      <c r="DN26">
        <v>0</v>
      </c>
      <c r="DO26">
        <v>0</v>
      </c>
      <c r="DP26">
        <v>1</v>
      </c>
      <c r="DQ26">
        <v>1</v>
      </c>
      <c r="DR26">
        <v>1</v>
      </c>
      <c r="DS26">
        <v>1</v>
      </c>
      <c r="DT26">
        <v>1</v>
      </c>
      <c r="DU26">
        <v>1003</v>
      </c>
      <c r="DV26" t="s">
        <v>37</v>
      </c>
      <c r="DW26" t="s">
        <v>41</v>
      </c>
      <c r="DX26">
        <v>100</v>
      </c>
      <c r="EE26">
        <v>13267006</v>
      </c>
      <c r="EF26">
        <v>2</v>
      </c>
      <c r="EG26" t="s">
        <v>42</v>
      </c>
      <c r="EH26">
        <v>0</v>
      </c>
      <c r="EJ26">
        <v>1</v>
      </c>
      <c r="EK26">
        <v>12001</v>
      </c>
      <c r="EL26" t="s">
        <v>43</v>
      </c>
      <c r="EM26" t="s">
        <v>44</v>
      </c>
      <c r="EO26" t="s">
        <v>45</v>
      </c>
      <c r="EQ26">
        <v>0</v>
      </c>
      <c r="ER26">
        <v>2737.35</v>
      </c>
      <c r="ES26">
        <v>2316.05</v>
      </c>
      <c r="ET26">
        <v>181.7</v>
      </c>
      <c r="EU26">
        <v>3.24</v>
      </c>
      <c r="EV26">
        <v>239.6</v>
      </c>
      <c r="EW26">
        <v>26.1</v>
      </c>
      <c r="EX26">
        <v>0.24</v>
      </c>
      <c r="EY26">
        <v>0</v>
      </c>
      <c r="EZ26">
        <v>0</v>
      </c>
      <c r="FQ26">
        <v>0</v>
      </c>
      <c r="FR26">
        <f>ROUND(IF(AND(AA26=0,BI26=3),P26,0),2)</f>
        <v>0</v>
      </c>
      <c r="FS26">
        <v>0</v>
      </c>
      <c r="FT26" t="s">
        <v>46</v>
      </c>
      <c r="FU26" t="s">
        <v>47</v>
      </c>
      <c r="FV26" t="s">
        <v>48</v>
      </c>
      <c r="FW26" t="s">
        <v>49</v>
      </c>
      <c r="FX26">
        <v>108</v>
      </c>
      <c r="FY26">
        <v>55.25</v>
      </c>
    </row>
    <row r="28" spans="1:43" ht="12.75">
      <c r="A28" s="2">
        <v>51</v>
      </c>
      <c r="B28" s="2">
        <f>B19</f>
        <v>1</v>
      </c>
      <c r="C28" s="2">
        <f>A19</f>
        <v>3</v>
      </c>
      <c r="D28" s="2">
        <f>ROW(A19)</f>
        <v>19</v>
      </c>
      <c r="E28" s="2"/>
      <c r="F28" s="2" t="str">
        <f>IF(F19&lt;&gt;"",F19,"")</f>
        <v>Новая локальная смета</v>
      </c>
      <c r="G28" s="2" t="str">
        <f>IF(G19&lt;&gt;"",G19,"")</f>
        <v>ремонт кровли</v>
      </c>
      <c r="H28" s="2"/>
      <c r="I28" s="2"/>
      <c r="J28" s="2"/>
      <c r="K28" s="2"/>
      <c r="L28" s="2"/>
      <c r="M28" s="2"/>
      <c r="N28" s="2"/>
      <c r="O28" s="2">
        <f aca="true" t="shared" si="5" ref="O28:Y28">ROUND(AB28,2)</f>
        <v>16949.26</v>
      </c>
      <c r="P28" s="2">
        <f t="shared" si="5"/>
        <v>10838.42</v>
      </c>
      <c r="Q28" s="2">
        <f t="shared" si="5"/>
        <v>358.83</v>
      </c>
      <c r="R28" s="2">
        <f t="shared" si="5"/>
        <v>66.13</v>
      </c>
      <c r="S28" s="2">
        <f t="shared" si="5"/>
        <v>5752.01</v>
      </c>
      <c r="T28" s="2">
        <f t="shared" si="5"/>
        <v>0</v>
      </c>
      <c r="U28" s="2">
        <f t="shared" si="5"/>
        <v>28.77</v>
      </c>
      <c r="V28" s="2">
        <f t="shared" si="5"/>
        <v>0.27</v>
      </c>
      <c r="W28" s="2">
        <f t="shared" si="5"/>
        <v>0</v>
      </c>
      <c r="X28" s="2">
        <f t="shared" si="5"/>
        <v>4928.93</v>
      </c>
      <c r="Y28" s="2">
        <f t="shared" si="5"/>
        <v>3545.54</v>
      </c>
      <c r="Z28" s="2"/>
      <c r="AA28" s="2"/>
      <c r="AB28" s="2">
        <f>ROUND(SUMIF(AA23:AA26,"=0",O23:O26),2)</f>
        <v>16949.26</v>
      </c>
      <c r="AC28" s="2">
        <f>ROUND(SUMIF(AA23:AA26,"=0",P23:P26),2)</f>
        <v>10838.42</v>
      </c>
      <c r="AD28" s="2">
        <f>ROUND(SUMIF(AA23:AA26,"=0",Q23:Q26),2)</f>
        <v>358.83</v>
      </c>
      <c r="AE28" s="2">
        <f>ROUND(SUMIF(AA23:AA26,"=0",R23:R26),2)</f>
        <v>66.13</v>
      </c>
      <c r="AF28" s="2">
        <f>ROUND(SUMIF(AA23:AA26,"=0",S23:S26),2)</f>
        <v>5752.01</v>
      </c>
      <c r="AG28" s="2">
        <f>ROUND(SUMIF(AA23:AA26,"=0",T23:T26),2)</f>
        <v>0</v>
      </c>
      <c r="AH28" s="2">
        <f>ROUND(SUMIF(AA23:AA26,"=0",U23:U26),2)</f>
        <v>28.77</v>
      </c>
      <c r="AI28" s="2">
        <f>ROUND(SUMIF(AA23:AA26,"=0",V23:V26),2)</f>
        <v>0.27</v>
      </c>
      <c r="AJ28" s="2">
        <f>ROUND(SUMIF(AA23:AA26,"=0",W23:W26),2)</f>
        <v>0</v>
      </c>
      <c r="AK28" s="2">
        <f>ROUND(SUMIF(AA23:AA26,"=0",X23:X26),2)</f>
        <v>4928.93</v>
      </c>
      <c r="AL28" s="2">
        <f>ROUND(SUMIF(AA23:AA26,"=0",Y23:Y26),2)</f>
        <v>3545.54</v>
      </c>
      <c r="AM28" s="2"/>
      <c r="AN28" s="2">
        <f>ROUND(AO28,2)</f>
        <v>0</v>
      </c>
      <c r="AO28" s="2">
        <f>ROUND(SUMIF(AA23:AA26,"=0",FQ23:FQ26),2)</f>
        <v>0</v>
      </c>
      <c r="AP28" s="2">
        <f>ROUND(AQ28,2)</f>
        <v>0</v>
      </c>
      <c r="AQ28" s="2">
        <f>ROUND(SUM(FR23:FR26),2)</f>
        <v>0</v>
      </c>
    </row>
    <row r="30" spans="1:14" ht="12.75">
      <c r="A30" s="3">
        <v>50</v>
      </c>
      <c r="B30" s="3">
        <v>0</v>
      </c>
      <c r="C30" s="3">
        <v>0</v>
      </c>
      <c r="D30" s="3">
        <v>1</v>
      </c>
      <c r="E30" s="3">
        <v>201</v>
      </c>
      <c r="F30" s="3">
        <f>Source!O28</f>
        <v>16949.26</v>
      </c>
      <c r="G30" s="3" t="s">
        <v>50</v>
      </c>
      <c r="H30" s="3" t="s">
        <v>51</v>
      </c>
      <c r="I30" s="3"/>
      <c r="J30" s="3"/>
      <c r="K30" s="3">
        <v>201</v>
      </c>
      <c r="L30" s="3">
        <v>1</v>
      </c>
      <c r="M30" s="3">
        <v>3</v>
      </c>
      <c r="N30" s="3" t="s">
        <v>2</v>
      </c>
    </row>
    <row r="31" spans="1:14" ht="12.75">
      <c r="A31" s="3">
        <v>50</v>
      </c>
      <c r="B31" s="3">
        <v>0</v>
      </c>
      <c r="C31" s="3">
        <v>0</v>
      </c>
      <c r="D31" s="3">
        <v>1</v>
      </c>
      <c r="E31" s="3">
        <v>202</v>
      </c>
      <c r="F31" s="3">
        <f>Source!P28</f>
        <v>10838.42</v>
      </c>
      <c r="G31" s="3" t="s">
        <v>52</v>
      </c>
      <c r="H31" s="3" t="s">
        <v>53</v>
      </c>
      <c r="I31" s="3"/>
      <c r="J31" s="3"/>
      <c r="K31" s="3">
        <v>202</v>
      </c>
      <c r="L31" s="3">
        <v>2</v>
      </c>
      <c r="M31" s="3">
        <v>3</v>
      </c>
      <c r="N31" s="3" t="s">
        <v>2</v>
      </c>
    </row>
    <row r="32" spans="1:14" ht="12.75">
      <c r="A32" s="3">
        <v>50</v>
      </c>
      <c r="B32" s="3">
        <v>0</v>
      </c>
      <c r="C32" s="3">
        <v>0</v>
      </c>
      <c r="D32" s="3">
        <v>1</v>
      </c>
      <c r="E32" s="3">
        <v>222</v>
      </c>
      <c r="F32" s="3">
        <f>Source!AN28</f>
        <v>0</v>
      </c>
      <c r="G32" s="3" t="s">
        <v>54</v>
      </c>
      <c r="H32" s="3" t="s">
        <v>55</v>
      </c>
      <c r="I32" s="3"/>
      <c r="J32" s="3"/>
      <c r="K32" s="3">
        <v>222</v>
      </c>
      <c r="L32" s="3">
        <v>3</v>
      </c>
      <c r="M32" s="3">
        <v>3</v>
      </c>
      <c r="N32" s="3" t="s">
        <v>2</v>
      </c>
    </row>
    <row r="33" spans="1:14" ht="12.75">
      <c r="A33" s="3">
        <v>50</v>
      </c>
      <c r="B33" s="3">
        <v>0</v>
      </c>
      <c r="C33" s="3">
        <v>0</v>
      </c>
      <c r="D33" s="3">
        <v>1</v>
      </c>
      <c r="E33" s="3">
        <v>216</v>
      </c>
      <c r="F33" s="3">
        <f>Source!AP28</f>
        <v>0</v>
      </c>
      <c r="G33" s="3" t="s">
        <v>56</v>
      </c>
      <c r="H33" s="3" t="s">
        <v>57</v>
      </c>
      <c r="I33" s="3"/>
      <c r="J33" s="3"/>
      <c r="K33" s="3">
        <v>216</v>
      </c>
      <c r="L33" s="3">
        <v>4</v>
      </c>
      <c r="M33" s="3">
        <v>3</v>
      </c>
      <c r="N33" s="3" t="s">
        <v>2</v>
      </c>
    </row>
    <row r="34" spans="1:14" ht="12.75">
      <c r="A34" s="3">
        <v>50</v>
      </c>
      <c r="B34" s="3">
        <v>0</v>
      </c>
      <c r="C34" s="3">
        <v>0</v>
      </c>
      <c r="D34" s="3">
        <v>1</v>
      </c>
      <c r="E34" s="3">
        <v>203</v>
      </c>
      <c r="F34" s="3">
        <f>Source!Q28</f>
        <v>358.83</v>
      </c>
      <c r="G34" s="3" t="s">
        <v>58</v>
      </c>
      <c r="H34" s="3" t="s">
        <v>59</v>
      </c>
      <c r="I34" s="3"/>
      <c r="J34" s="3"/>
      <c r="K34" s="3">
        <v>203</v>
      </c>
      <c r="L34" s="3">
        <v>5</v>
      </c>
      <c r="M34" s="3">
        <v>3</v>
      </c>
      <c r="N34" s="3" t="s">
        <v>2</v>
      </c>
    </row>
    <row r="35" spans="1:14" ht="12.75">
      <c r="A35" s="3">
        <v>50</v>
      </c>
      <c r="B35" s="3">
        <v>0</v>
      </c>
      <c r="C35" s="3">
        <v>0</v>
      </c>
      <c r="D35" s="3">
        <v>1</v>
      </c>
      <c r="E35" s="3">
        <v>204</v>
      </c>
      <c r="F35" s="3">
        <f>Source!R28</f>
        <v>66.13</v>
      </c>
      <c r="G35" s="3" t="s">
        <v>60</v>
      </c>
      <c r="H35" s="3" t="s">
        <v>61</v>
      </c>
      <c r="I35" s="3"/>
      <c r="J35" s="3"/>
      <c r="K35" s="3">
        <v>204</v>
      </c>
      <c r="L35" s="3">
        <v>6</v>
      </c>
      <c r="M35" s="3">
        <v>3</v>
      </c>
      <c r="N35" s="3" t="s">
        <v>2</v>
      </c>
    </row>
    <row r="36" spans="1:14" ht="12.75">
      <c r="A36" s="3">
        <v>50</v>
      </c>
      <c r="B36" s="3">
        <v>0</v>
      </c>
      <c r="C36" s="3">
        <v>0</v>
      </c>
      <c r="D36" s="3">
        <v>1</v>
      </c>
      <c r="E36" s="3">
        <v>205</v>
      </c>
      <c r="F36" s="3">
        <f>Source!S28</f>
        <v>5752.01</v>
      </c>
      <c r="G36" s="3" t="s">
        <v>62</v>
      </c>
      <c r="H36" s="3" t="s">
        <v>63</v>
      </c>
      <c r="I36" s="3"/>
      <c r="J36" s="3"/>
      <c r="K36" s="3">
        <v>205</v>
      </c>
      <c r="L36" s="3">
        <v>7</v>
      </c>
      <c r="M36" s="3">
        <v>3</v>
      </c>
      <c r="N36" s="3" t="s">
        <v>2</v>
      </c>
    </row>
    <row r="37" spans="1:14" ht="12.75">
      <c r="A37" s="3">
        <v>50</v>
      </c>
      <c r="B37" s="3">
        <v>0</v>
      </c>
      <c r="C37" s="3">
        <v>0</v>
      </c>
      <c r="D37" s="3">
        <v>1</v>
      </c>
      <c r="E37" s="3">
        <v>206</v>
      </c>
      <c r="F37" s="3">
        <f>Source!T28</f>
        <v>0</v>
      </c>
      <c r="G37" s="3" t="s">
        <v>64</v>
      </c>
      <c r="H37" s="3" t="s">
        <v>65</v>
      </c>
      <c r="I37" s="3"/>
      <c r="J37" s="3"/>
      <c r="K37" s="3">
        <v>206</v>
      </c>
      <c r="L37" s="3">
        <v>8</v>
      </c>
      <c r="M37" s="3">
        <v>3</v>
      </c>
      <c r="N37" s="3" t="s">
        <v>2</v>
      </c>
    </row>
    <row r="38" spans="1:14" ht="12.75">
      <c r="A38" s="3">
        <v>50</v>
      </c>
      <c r="B38" s="3">
        <v>0</v>
      </c>
      <c r="C38" s="3">
        <v>0</v>
      </c>
      <c r="D38" s="3">
        <v>1</v>
      </c>
      <c r="E38" s="3">
        <v>207</v>
      </c>
      <c r="F38" s="3">
        <f>Source!U28</f>
        <v>28.77</v>
      </c>
      <c r="G38" s="3" t="s">
        <v>66</v>
      </c>
      <c r="H38" s="3" t="s">
        <v>67</v>
      </c>
      <c r="I38" s="3"/>
      <c r="J38" s="3"/>
      <c r="K38" s="3">
        <v>207</v>
      </c>
      <c r="L38" s="3">
        <v>9</v>
      </c>
      <c r="M38" s="3">
        <v>3</v>
      </c>
      <c r="N38" s="3" t="s">
        <v>2</v>
      </c>
    </row>
    <row r="39" spans="1:14" ht="12.75">
      <c r="A39" s="3">
        <v>50</v>
      </c>
      <c r="B39" s="3">
        <v>0</v>
      </c>
      <c r="C39" s="3">
        <v>0</v>
      </c>
      <c r="D39" s="3">
        <v>1</v>
      </c>
      <c r="E39" s="3">
        <v>208</v>
      </c>
      <c r="F39" s="3">
        <f>Source!V28</f>
        <v>0.27</v>
      </c>
      <c r="G39" s="3" t="s">
        <v>68</v>
      </c>
      <c r="H39" s="3" t="s">
        <v>69</v>
      </c>
      <c r="I39" s="3"/>
      <c r="J39" s="3"/>
      <c r="K39" s="3">
        <v>208</v>
      </c>
      <c r="L39" s="3">
        <v>10</v>
      </c>
      <c r="M39" s="3">
        <v>3</v>
      </c>
      <c r="N39" s="3" t="s">
        <v>2</v>
      </c>
    </row>
    <row r="40" spans="1:14" ht="12.75">
      <c r="A40" s="3">
        <v>50</v>
      </c>
      <c r="B40" s="3">
        <v>0</v>
      </c>
      <c r="C40" s="3">
        <v>0</v>
      </c>
      <c r="D40" s="3">
        <v>1</v>
      </c>
      <c r="E40" s="3">
        <v>209</v>
      </c>
      <c r="F40" s="3">
        <f>Source!W28</f>
        <v>0</v>
      </c>
      <c r="G40" s="3" t="s">
        <v>70</v>
      </c>
      <c r="H40" s="3" t="s">
        <v>71</v>
      </c>
      <c r="I40" s="3"/>
      <c r="J40" s="3"/>
      <c r="K40" s="3">
        <v>209</v>
      </c>
      <c r="L40" s="3">
        <v>11</v>
      </c>
      <c r="M40" s="3">
        <v>3</v>
      </c>
      <c r="N40" s="3" t="s">
        <v>2</v>
      </c>
    </row>
    <row r="41" spans="1:14" ht="12.75">
      <c r="A41" s="3">
        <v>50</v>
      </c>
      <c r="B41" s="3">
        <v>0</v>
      </c>
      <c r="C41" s="3">
        <v>0</v>
      </c>
      <c r="D41" s="3">
        <v>1</v>
      </c>
      <c r="E41" s="3">
        <v>210</v>
      </c>
      <c r="F41" s="3">
        <f>Source!X28</f>
        <v>4928.93</v>
      </c>
      <c r="G41" s="3" t="s">
        <v>72</v>
      </c>
      <c r="H41" s="3" t="s">
        <v>73</v>
      </c>
      <c r="I41" s="3"/>
      <c r="J41" s="3"/>
      <c r="K41" s="3">
        <v>210</v>
      </c>
      <c r="L41" s="3">
        <v>12</v>
      </c>
      <c r="M41" s="3">
        <v>3</v>
      </c>
      <c r="N41" s="3" t="s">
        <v>2</v>
      </c>
    </row>
    <row r="42" spans="1:14" ht="12.75">
      <c r="A42" s="3">
        <v>50</v>
      </c>
      <c r="B42" s="3">
        <v>0</v>
      </c>
      <c r="C42" s="3">
        <v>0</v>
      </c>
      <c r="D42" s="3">
        <v>1</v>
      </c>
      <c r="E42" s="3">
        <v>211</v>
      </c>
      <c r="F42" s="3">
        <f>Source!Y28</f>
        <v>3545.54</v>
      </c>
      <c r="G42" s="3" t="s">
        <v>74</v>
      </c>
      <c r="H42" s="3" t="s">
        <v>75</v>
      </c>
      <c r="I42" s="3"/>
      <c r="J42" s="3"/>
      <c r="K42" s="3">
        <v>211</v>
      </c>
      <c r="L42" s="3">
        <v>13</v>
      </c>
      <c r="M42" s="3">
        <v>3</v>
      </c>
      <c r="N42" s="3" t="s">
        <v>2</v>
      </c>
    </row>
    <row r="44" spans="1:43" ht="12.75">
      <c r="A44" s="2">
        <v>51</v>
      </c>
      <c r="B44" s="2">
        <f>B11</f>
        <v>1</v>
      </c>
      <c r="C44" s="2">
        <f>A11</f>
        <v>1</v>
      </c>
      <c r="D44" s="2">
        <f>ROW(A11)</f>
        <v>11</v>
      </c>
      <c r="E44" s="2"/>
      <c r="F44" s="2" t="str">
        <f>IF(F11&lt;&gt;"",F11,"")</f>
        <v>Новый объект</v>
      </c>
      <c r="G44" s="2" t="str">
        <f>IF(G11&lt;&gt;"",G11,"")</f>
        <v>№153-31.05.16 С Смета на ремонт кровли(Гаврилов Филипп)</v>
      </c>
      <c r="H44" s="2"/>
      <c r="I44" s="2"/>
      <c r="J44" s="2"/>
      <c r="K44" s="2"/>
      <c r="L44" s="2"/>
      <c r="M44" s="2"/>
      <c r="N44" s="2"/>
      <c r="O44" s="2">
        <f aca="true" t="shared" si="6" ref="O44:Y44">ROUND(O28,2)</f>
        <v>16949.26</v>
      </c>
      <c r="P44" s="2">
        <f t="shared" si="6"/>
        <v>10838.42</v>
      </c>
      <c r="Q44" s="2">
        <f t="shared" si="6"/>
        <v>358.83</v>
      </c>
      <c r="R44" s="2">
        <f t="shared" si="6"/>
        <v>66.13</v>
      </c>
      <c r="S44" s="2">
        <f t="shared" si="6"/>
        <v>5752.01</v>
      </c>
      <c r="T44" s="2">
        <f t="shared" si="6"/>
        <v>0</v>
      </c>
      <c r="U44" s="2">
        <f t="shared" si="6"/>
        <v>28.77</v>
      </c>
      <c r="V44" s="2">
        <f t="shared" si="6"/>
        <v>0.27</v>
      </c>
      <c r="W44" s="2">
        <f t="shared" si="6"/>
        <v>0</v>
      </c>
      <c r="X44" s="2">
        <f t="shared" si="6"/>
        <v>4928.93</v>
      </c>
      <c r="Y44" s="2">
        <f t="shared" si="6"/>
        <v>3545.54</v>
      </c>
      <c r="Z44" s="2"/>
      <c r="AA44" s="2"/>
      <c r="AB44" s="2">
        <v>0</v>
      </c>
      <c r="AC44" s="2">
        <v>0</v>
      </c>
      <c r="AD44" s="2">
        <v>0</v>
      </c>
      <c r="AE44" s="2">
        <v>0</v>
      </c>
      <c r="AF44" s="2">
        <v>0</v>
      </c>
      <c r="AG44" s="2">
        <v>0</v>
      </c>
      <c r="AH44" s="2">
        <v>0</v>
      </c>
      <c r="AI44" s="2">
        <v>0</v>
      </c>
      <c r="AJ44" s="2">
        <v>0</v>
      </c>
      <c r="AK44" s="2">
        <v>0</v>
      </c>
      <c r="AL44" s="2">
        <v>0</v>
      </c>
      <c r="AM44" s="2"/>
      <c r="AN44" s="2">
        <f>ROUND(AN28,2)</f>
        <v>0</v>
      </c>
      <c r="AO44" s="2">
        <v>0</v>
      </c>
      <c r="AP44" s="2">
        <f>ROUND(AP28,2)</f>
        <v>0</v>
      </c>
      <c r="AQ44" s="2">
        <v>0</v>
      </c>
    </row>
    <row r="46" spans="1:14" ht="12.75">
      <c r="A46" s="3">
        <v>50</v>
      </c>
      <c r="B46" s="3">
        <v>0</v>
      </c>
      <c r="C46" s="3">
        <v>0</v>
      </c>
      <c r="D46" s="3">
        <v>1</v>
      </c>
      <c r="E46" s="3">
        <v>201</v>
      </c>
      <c r="F46" s="3">
        <f>Source!O44</f>
        <v>16949.26</v>
      </c>
      <c r="G46" s="3" t="s">
        <v>50</v>
      </c>
      <c r="H46" s="3" t="s">
        <v>51</v>
      </c>
      <c r="I46" s="3"/>
      <c r="J46" s="3"/>
      <c r="K46" s="3">
        <v>201</v>
      </c>
      <c r="L46" s="3">
        <v>1</v>
      </c>
      <c r="M46" s="3">
        <v>3</v>
      </c>
      <c r="N46" s="3" t="s">
        <v>2</v>
      </c>
    </row>
    <row r="47" spans="1:14" ht="12.75">
      <c r="A47" s="3">
        <v>50</v>
      </c>
      <c r="B47" s="3">
        <v>0</v>
      </c>
      <c r="C47" s="3">
        <v>0</v>
      </c>
      <c r="D47" s="3">
        <v>1</v>
      </c>
      <c r="E47" s="3">
        <v>202</v>
      </c>
      <c r="F47" s="3">
        <f>Source!P44</f>
        <v>10838.42</v>
      </c>
      <c r="G47" s="3" t="s">
        <v>52</v>
      </c>
      <c r="H47" s="3" t="s">
        <v>53</v>
      </c>
      <c r="I47" s="3"/>
      <c r="J47" s="3"/>
      <c r="K47" s="3">
        <v>202</v>
      </c>
      <c r="L47" s="3">
        <v>2</v>
      </c>
      <c r="M47" s="3">
        <v>3</v>
      </c>
      <c r="N47" s="3" t="s">
        <v>2</v>
      </c>
    </row>
    <row r="48" spans="1:14" ht="12.75">
      <c r="A48" s="3">
        <v>50</v>
      </c>
      <c r="B48" s="3">
        <v>0</v>
      </c>
      <c r="C48" s="3">
        <v>0</v>
      </c>
      <c r="D48" s="3">
        <v>1</v>
      </c>
      <c r="E48" s="3">
        <v>222</v>
      </c>
      <c r="F48" s="3">
        <f>Source!AN44</f>
        <v>0</v>
      </c>
      <c r="G48" s="3" t="s">
        <v>54</v>
      </c>
      <c r="H48" s="3" t="s">
        <v>55</v>
      </c>
      <c r="I48" s="3"/>
      <c r="J48" s="3"/>
      <c r="K48" s="3">
        <v>222</v>
      </c>
      <c r="L48" s="3">
        <v>3</v>
      </c>
      <c r="M48" s="3">
        <v>3</v>
      </c>
      <c r="N48" s="3" t="s">
        <v>2</v>
      </c>
    </row>
    <row r="49" spans="1:14" ht="12.75">
      <c r="A49" s="3">
        <v>50</v>
      </c>
      <c r="B49" s="3">
        <v>0</v>
      </c>
      <c r="C49" s="3">
        <v>0</v>
      </c>
      <c r="D49" s="3">
        <v>1</v>
      </c>
      <c r="E49" s="3">
        <v>216</v>
      </c>
      <c r="F49" s="3">
        <f>Source!AP44</f>
        <v>0</v>
      </c>
      <c r="G49" s="3" t="s">
        <v>56</v>
      </c>
      <c r="H49" s="3" t="s">
        <v>57</v>
      </c>
      <c r="I49" s="3"/>
      <c r="J49" s="3"/>
      <c r="K49" s="3">
        <v>216</v>
      </c>
      <c r="L49" s="3">
        <v>4</v>
      </c>
      <c r="M49" s="3">
        <v>3</v>
      </c>
      <c r="N49" s="3" t="s">
        <v>2</v>
      </c>
    </row>
    <row r="50" spans="1:14" ht="12.75">
      <c r="A50" s="3">
        <v>50</v>
      </c>
      <c r="B50" s="3">
        <v>0</v>
      </c>
      <c r="C50" s="3">
        <v>0</v>
      </c>
      <c r="D50" s="3">
        <v>1</v>
      </c>
      <c r="E50" s="3">
        <v>203</v>
      </c>
      <c r="F50" s="3">
        <f>Source!Q44</f>
        <v>358.83</v>
      </c>
      <c r="G50" s="3" t="s">
        <v>58</v>
      </c>
      <c r="H50" s="3" t="s">
        <v>59</v>
      </c>
      <c r="I50" s="3"/>
      <c r="J50" s="3"/>
      <c r="K50" s="3">
        <v>203</v>
      </c>
      <c r="L50" s="3">
        <v>5</v>
      </c>
      <c r="M50" s="3">
        <v>3</v>
      </c>
      <c r="N50" s="3" t="s">
        <v>2</v>
      </c>
    </row>
    <row r="51" spans="1:14" ht="12.75">
      <c r="A51" s="3">
        <v>50</v>
      </c>
      <c r="B51" s="3">
        <v>0</v>
      </c>
      <c r="C51" s="3">
        <v>0</v>
      </c>
      <c r="D51" s="3">
        <v>1</v>
      </c>
      <c r="E51" s="3">
        <v>204</v>
      </c>
      <c r="F51" s="3">
        <f>Source!R44</f>
        <v>66.13</v>
      </c>
      <c r="G51" s="3" t="s">
        <v>60</v>
      </c>
      <c r="H51" s="3" t="s">
        <v>61</v>
      </c>
      <c r="I51" s="3"/>
      <c r="J51" s="3"/>
      <c r="K51" s="3">
        <v>204</v>
      </c>
      <c r="L51" s="3">
        <v>6</v>
      </c>
      <c r="M51" s="3">
        <v>3</v>
      </c>
      <c r="N51" s="3" t="s">
        <v>2</v>
      </c>
    </row>
    <row r="52" spans="1:14" ht="12.75">
      <c r="A52" s="3">
        <v>50</v>
      </c>
      <c r="B52" s="3">
        <v>0</v>
      </c>
      <c r="C52" s="3">
        <v>0</v>
      </c>
      <c r="D52" s="3">
        <v>1</v>
      </c>
      <c r="E52" s="3">
        <v>205</v>
      </c>
      <c r="F52" s="3">
        <f>Source!S44</f>
        <v>5752.01</v>
      </c>
      <c r="G52" s="3" t="s">
        <v>62</v>
      </c>
      <c r="H52" s="3" t="s">
        <v>63</v>
      </c>
      <c r="I52" s="3"/>
      <c r="J52" s="3"/>
      <c r="K52" s="3">
        <v>205</v>
      </c>
      <c r="L52" s="3">
        <v>7</v>
      </c>
      <c r="M52" s="3">
        <v>3</v>
      </c>
      <c r="N52" s="3" t="s">
        <v>2</v>
      </c>
    </row>
    <row r="53" spans="1:14" ht="12.75">
      <c r="A53" s="3">
        <v>50</v>
      </c>
      <c r="B53" s="3">
        <v>0</v>
      </c>
      <c r="C53" s="3">
        <v>0</v>
      </c>
      <c r="D53" s="3">
        <v>1</v>
      </c>
      <c r="E53" s="3">
        <v>206</v>
      </c>
      <c r="F53" s="3">
        <f>Source!T44</f>
        <v>0</v>
      </c>
      <c r="G53" s="3" t="s">
        <v>64</v>
      </c>
      <c r="H53" s="3" t="s">
        <v>65</v>
      </c>
      <c r="I53" s="3"/>
      <c r="J53" s="3"/>
      <c r="K53" s="3">
        <v>206</v>
      </c>
      <c r="L53" s="3">
        <v>8</v>
      </c>
      <c r="M53" s="3">
        <v>3</v>
      </c>
      <c r="N53" s="3" t="s">
        <v>2</v>
      </c>
    </row>
    <row r="54" spans="1:14" ht="12.75">
      <c r="A54" s="3">
        <v>50</v>
      </c>
      <c r="B54" s="3">
        <v>0</v>
      </c>
      <c r="C54" s="3">
        <v>0</v>
      </c>
      <c r="D54" s="3">
        <v>1</v>
      </c>
      <c r="E54" s="3">
        <v>207</v>
      </c>
      <c r="F54" s="3">
        <f>Source!U44</f>
        <v>28.77</v>
      </c>
      <c r="G54" s="3" t="s">
        <v>66</v>
      </c>
      <c r="H54" s="3" t="s">
        <v>67</v>
      </c>
      <c r="I54" s="3"/>
      <c r="J54" s="3"/>
      <c r="K54" s="3">
        <v>207</v>
      </c>
      <c r="L54" s="3">
        <v>9</v>
      </c>
      <c r="M54" s="3">
        <v>3</v>
      </c>
      <c r="N54" s="3" t="s">
        <v>2</v>
      </c>
    </row>
    <row r="55" spans="1:14" ht="12.75">
      <c r="A55" s="3">
        <v>50</v>
      </c>
      <c r="B55" s="3">
        <v>0</v>
      </c>
      <c r="C55" s="3">
        <v>0</v>
      </c>
      <c r="D55" s="3">
        <v>1</v>
      </c>
      <c r="E55" s="3">
        <v>208</v>
      </c>
      <c r="F55" s="3">
        <f>Source!V44</f>
        <v>0.27</v>
      </c>
      <c r="G55" s="3" t="s">
        <v>68</v>
      </c>
      <c r="H55" s="3" t="s">
        <v>69</v>
      </c>
      <c r="I55" s="3"/>
      <c r="J55" s="3"/>
      <c r="K55" s="3">
        <v>208</v>
      </c>
      <c r="L55" s="3">
        <v>10</v>
      </c>
      <c r="M55" s="3">
        <v>3</v>
      </c>
      <c r="N55" s="3" t="s">
        <v>2</v>
      </c>
    </row>
    <row r="56" spans="1:14" ht="12.75">
      <c r="A56" s="3">
        <v>50</v>
      </c>
      <c r="B56" s="3">
        <v>0</v>
      </c>
      <c r="C56" s="3">
        <v>0</v>
      </c>
      <c r="D56" s="3">
        <v>1</v>
      </c>
      <c r="E56" s="3">
        <v>209</v>
      </c>
      <c r="F56" s="3">
        <f>Source!W44</f>
        <v>0</v>
      </c>
      <c r="G56" s="3" t="s">
        <v>70</v>
      </c>
      <c r="H56" s="3" t="s">
        <v>71</v>
      </c>
      <c r="I56" s="3"/>
      <c r="J56" s="3"/>
      <c r="K56" s="3">
        <v>209</v>
      </c>
      <c r="L56" s="3">
        <v>11</v>
      </c>
      <c r="M56" s="3">
        <v>3</v>
      </c>
      <c r="N56" s="3" t="s">
        <v>2</v>
      </c>
    </row>
    <row r="57" spans="1:14" ht="12.75">
      <c r="A57" s="3">
        <v>50</v>
      </c>
      <c r="B57" s="3">
        <v>0</v>
      </c>
      <c r="C57" s="3">
        <v>0</v>
      </c>
      <c r="D57" s="3">
        <v>1</v>
      </c>
      <c r="E57" s="3">
        <v>210</v>
      </c>
      <c r="F57" s="3">
        <f>Source!X44</f>
        <v>4928.93</v>
      </c>
      <c r="G57" s="3" t="s">
        <v>72</v>
      </c>
      <c r="H57" s="3" t="s">
        <v>73</v>
      </c>
      <c r="I57" s="3"/>
      <c r="J57" s="3"/>
      <c r="K57" s="3">
        <v>210</v>
      </c>
      <c r="L57" s="3">
        <v>12</v>
      </c>
      <c r="M57" s="3">
        <v>3</v>
      </c>
      <c r="N57" s="3" t="s">
        <v>2</v>
      </c>
    </row>
    <row r="58" spans="1:14" ht="12.75">
      <c r="A58" s="3">
        <v>50</v>
      </c>
      <c r="B58" s="3">
        <v>0</v>
      </c>
      <c r="C58" s="3">
        <v>0</v>
      </c>
      <c r="D58" s="3">
        <v>1</v>
      </c>
      <c r="E58" s="3">
        <v>211</v>
      </c>
      <c r="F58" s="3">
        <f>Source!Y44</f>
        <v>3545.54</v>
      </c>
      <c r="G58" s="3" t="s">
        <v>74</v>
      </c>
      <c r="H58" s="3" t="s">
        <v>75</v>
      </c>
      <c r="I58" s="3"/>
      <c r="J58" s="3"/>
      <c r="K58" s="3">
        <v>211</v>
      </c>
      <c r="L58" s="3">
        <v>13</v>
      </c>
      <c r="M58" s="3">
        <v>3</v>
      </c>
      <c r="N58" s="3" t="s">
        <v>2</v>
      </c>
    </row>
    <row r="59" spans="1:14" ht="12.75">
      <c r="A59" s="3">
        <v>50</v>
      </c>
      <c r="B59" s="3">
        <v>1</v>
      </c>
      <c r="C59" s="3">
        <v>0</v>
      </c>
      <c r="D59" s="3">
        <v>2</v>
      </c>
      <c r="E59" s="3">
        <v>0</v>
      </c>
      <c r="F59" s="3">
        <f>ROUND(Source!F46+Source!F57+Source!F58,2)</f>
        <v>25423.73</v>
      </c>
      <c r="G59" s="3" t="s">
        <v>76</v>
      </c>
      <c r="H59" s="3" t="s">
        <v>77</v>
      </c>
      <c r="I59" s="3"/>
      <c r="J59" s="3"/>
      <c r="K59" s="3">
        <v>212</v>
      </c>
      <c r="L59" s="3">
        <v>14</v>
      </c>
      <c r="M59" s="3">
        <v>0</v>
      </c>
      <c r="N59" s="3" t="s">
        <v>2</v>
      </c>
    </row>
    <row r="60" spans="1:14" ht="12.75">
      <c r="A60" s="3">
        <v>50</v>
      </c>
      <c r="B60" s="3">
        <v>1</v>
      </c>
      <c r="C60" s="3">
        <v>0</v>
      </c>
      <c r="D60" s="3">
        <v>2</v>
      </c>
      <c r="E60" s="3">
        <v>0</v>
      </c>
      <c r="F60" s="3">
        <f>ROUND(Source!F59*0.18,2)</f>
        <v>4576.27</v>
      </c>
      <c r="G60" s="3" t="s">
        <v>78</v>
      </c>
      <c r="H60" s="3" t="s">
        <v>79</v>
      </c>
      <c r="I60" s="3"/>
      <c r="J60" s="3"/>
      <c r="K60" s="3">
        <v>212</v>
      </c>
      <c r="L60" s="3">
        <v>15</v>
      </c>
      <c r="M60" s="3">
        <v>0</v>
      </c>
      <c r="N60" s="3" t="s">
        <v>2</v>
      </c>
    </row>
    <row r="61" spans="1:14" ht="12.75">
      <c r="A61" s="3">
        <v>50</v>
      </c>
      <c r="B61" s="3">
        <v>1</v>
      </c>
      <c r="C61" s="3">
        <v>0</v>
      </c>
      <c r="D61" s="3">
        <v>2</v>
      </c>
      <c r="E61" s="3">
        <v>0</v>
      </c>
      <c r="F61" s="3">
        <f>ROUND(Source!F59+Source!F60,2)</f>
        <v>30000</v>
      </c>
      <c r="G61" s="3" t="s">
        <v>80</v>
      </c>
      <c r="H61" s="3" t="s">
        <v>81</v>
      </c>
      <c r="I61" s="3"/>
      <c r="J61" s="3"/>
      <c r="K61" s="3">
        <v>212</v>
      </c>
      <c r="L61" s="3">
        <v>16</v>
      </c>
      <c r="M61" s="3">
        <v>0</v>
      </c>
      <c r="N61" s="3" t="s">
        <v>2</v>
      </c>
    </row>
    <row r="64" spans="1:14" ht="12.75">
      <c r="A64">
        <v>70</v>
      </c>
      <c r="B64">
        <v>1</v>
      </c>
      <c r="D64">
        <v>0</v>
      </c>
      <c r="E64" t="s">
        <v>82</v>
      </c>
      <c r="F64" t="s">
        <v>83</v>
      </c>
      <c r="G64">
        <v>0.9</v>
      </c>
      <c r="H64">
        <v>1</v>
      </c>
      <c r="I64" t="s">
        <v>84</v>
      </c>
      <c r="J64">
        <v>0</v>
      </c>
      <c r="K64">
        <v>0</v>
      </c>
      <c r="N64">
        <v>0</v>
      </c>
    </row>
    <row r="65" spans="1:14" ht="12.75">
      <c r="A65">
        <v>70</v>
      </c>
      <c r="B65">
        <v>1</v>
      </c>
      <c r="D65">
        <v>0</v>
      </c>
      <c r="E65" t="s">
        <v>85</v>
      </c>
      <c r="F65" t="s">
        <v>86</v>
      </c>
      <c r="G65">
        <v>0.85</v>
      </c>
      <c r="H65">
        <v>1</v>
      </c>
      <c r="I65" t="s">
        <v>87</v>
      </c>
      <c r="J65">
        <v>0</v>
      </c>
      <c r="K65">
        <v>0</v>
      </c>
      <c r="N65">
        <v>0</v>
      </c>
    </row>
    <row r="66" spans="1:14" ht="12.75">
      <c r="A66">
        <v>70</v>
      </c>
      <c r="B66">
        <v>1</v>
      </c>
      <c r="D66">
        <v>0</v>
      </c>
      <c r="E66" t="s">
        <v>88</v>
      </c>
      <c r="F66" t="s">
        <v>89</v>
      </c>
      <c r="G66">
        <v>0.85</v>
      </c>
      <c r="H66">
        <v>0.85</v>
      </c>
      <c r="I66" t="s">
        <v>90</v>
      </c>
      <c r="J66">
        <v>0</v>
      </c>
      <c r="K66">
        <v>0</v>
      </c>
      <c r="N66">
        <v>0</v>
      </c>
    </row>
    <row r="67" spans="1:14" ht="12.75">
      <c r="A67">
        <v>70</v>
      </c>
      <c r="B67">
        <v>1</v>
      </c>
      <c r="D67">
        <v>0</v>
      </c>
      <c r="E67" t="s">
        <v>91</v>
      </c>
      <c r="F67" t="s">
        <v>92</v>
      </c>
      <c r="G67">
        <v>0.8</v>
      </c>
      <c r="H67">
        <v>0.8</v>
      </c>
      <c r="I67" t="s">
        <v>93</v>
      </c>
      <c r="J67">
        <v>0</v>
      </c>
      <c r="K67">
        <v>0</v>
      </c>
      <c r="N67">
        <v>0</v>
      </c>
    </row>
    <row r="68" spans="1:14" ht="12.75">
      <c r="A68">
        <v>70</v>
      </c>
      <c r="B68">
        <v>1</v>
      </c>
      <c r="D68">
        <v>2</v>
      </c>
      <c r="E68" t="s">
        <v>94</v>
      </c>
      <c r="F68" t="s">
        <v>95</v>
      </c>
      <c r="G68">
        <v>1</v>
      </c>
      <c r="H68">
        <v>0</v>
      </c>
      <c r="I68" t="s">
        <v>96</v>
      </c>
      <c r="J68">
        <v>0</v>
      </c>
      <c r="K68">
        <v>0</v>
      </c>
      <c r="N68">
        <v>0</v>
      </c>
    </row>
    <row r="69" spans="1:14" ht="12.75">
      <c r="A69">
        <v>70</v>
      </c>
      <c r="B69">
        <v>1</v>
      </c>
      <c r="D69">
        <v>0</v>
      </c>
      <c r="E69" t="s">
        <v>97</v>
      </c>
      <c r="F69" t="s">
        <v>98</v>
      </c>
      <c r="G69">
        <v>0</v>
      </c>
      <c r="H69">
        <v>0</v>
      </c>
      <c r="I69" t="s">
        <v>99</v>
      </c>
      <c r="J69">
        <v>0</v>
      </c>
      <c r="K69">
        <v>0</v>
      </c>
      <c r="N69">
        <v>0</v>
      </c>
    </row>
    <row r="70" spans="1:14" ht="12.75">
      <c r="A70">
        <v>70</v>
      </c>
      <c r="B70">
        <v>1</v>
      </c>
      <c r="D70">
        <v>0</v>
      </c>
      <c r="E70" t="s">
        <v>100</v>
      </c>
      <c r="F70" t="s">
        <v>101</v>
      </c>
      <c r="G70">
        <v>0</v>
      </c>
      <c r="H70">
        <v>0</v>
      </c>
      <c r="I70" t="s">
        <v>102</v>
      </c>
      <c r="J70">
        <v>0</v>
      </c>
      <c r="K70">
        <v>0</v>
      </c>
      <c r="N70">
        <v>0</v>
      </c>
    </row>
    <row r="71" spans="1:14" ht="12.75">
      <c r="A71">
        <v>70</v>
      </c>
      <c r="B71">
        <v>1</v>
      </c>
      <c r="D71">
        <v>0</v>
      </c>
      <c r="E71" t="s">
        <v>103</v>
      </c>
      <c r="F71" t="s">
        <v>104</v>
      </c>
      <c r="G71">
        <v>0</v>
      </c>
      <c r="H71">
        <v>1</v>
      </c>
      <c r="I71" t="s">
        <v>105</v>
      </c>
      <c r="J71">
        <v>0</v>
      </c>
      <c r="K71">
        <v>0</v>
      </c>
      <c r="N71">
        <v>0</v>
      </c>
    </row>
    <row r="72" spans="1:14" ht="12.75">
      <c r="A72">
        <v>70</v>
      </c>
      <c r="B72">
        <v>1</v>
      </c>
      <c r="D72">
        <v>0</v>
      </c>
      <c r="E72" t="s">
        <v>106</v>
      </c>
      <c r="F72" t="s">
        <v>107</v>
      </c>
      <c r="G72">
        <v>0</v>
      </c>
      <c r="H72">
        <v>0</v>
      </c>
      <c r="I72" t="s">
        <v>108</v>
      </c>
      <c r="J72">
        <v>0</v>
      </c>
      <c r="K72">
        <v>0</v>
      </c>
      <c r="N72">
        <v>0</v>
      </c>
    </row>
    <row r="73" spans="1:14" ht="12.75">
      <c r="A73">
        <v>70</v>
      </c>
      <c r="B73">
        <v>1</v>
      </c>
      <c r="D73">
        <v>0</v>
      </c>
      <c r="E73" t="s">
        <v>109</v>
      </c>
      <c r="F73" t="s">
        <v>110</v>
      </c>
      <c r="G73">
        <v>0</v>
      </c>
      <c r="H73">
        <v>0</v>
      </c>
      <c r="I73" t="s">
        <v>111</v>
      </c>
      <c r="J73">
        <v>0</v>
      </c>
      <c r="K73">
        <v>0</v>
      </c>
      <c r="N73">
        <v>0</v>
      </c>
    </row>
    <row r="74" spans="1:14" ht="12.75">
      <c r="A74">
        <v>70</v>
      </c>
      <c r="B74">
        <v>1</v>
      </c>
      <c r="D74">
        <v>10</v>
      </c>
      <c r="E74" t="s">
        <v>112</v>
      </c>
      <c r="F74" t="s">
        <v>113</v>
      </c>
      <c r="G74">
        <v>1</v>
      </c>
      <c r="H74">
        <v>1</v>
      </c>
      <c r="I74" t="s">
        <v>114</v>
      </c>
      <c r="J74">
        <v>0</v>
      </c>
      <c r="K74">
        <v>0</v>
      </c>
      <c r="N74">
        <v>0</v>
      </c>
    </row>
    <row r="75" spans="1:14" ht="12.75">
      <c r="A75">
        <v>70</v>
      </c>
      <c r="B75">
        <v>1</v>
      </c>
      <c r="D75">
        <v>0</v>
      </c>
      <c r="E75" t="s">
        <v>115</v>
      </c>
      <c r="F75" t="s">
        <v>116</v>
      </c>
      <c r="G75">
        <v>0</v>
      </c>
      <c r="H75">
        <v>0</v>
      </c>
      <c r="I75" t="s">
        <v>117</v>
      </c>
      <c r="J75">
        <v>0</v>
      </c>
      <c r="K75">
        <v>0</v>
      </c>
      <c r="N75">
        <v>0</v>
      </c>
    </row>
    <row r="76" spans="1:14" ht="12.75">
      <c r="A76">
        <v>70</v>
      </c>
      <c r="B76">
        <v>1</v>
      </c>
      <c r="D76">
        <v>0</v>
      </c>
      <c r="E76" t="s">
        <v>118</v>
      </c>
      <c r="F76" t="s">
        <v>119</v>
      </c>
      <c r="G76">
        <v>0</v>
      </c>
      <c r="H76">
        <v>0</v>
      </c>
      <c r="I76" t="s">
        <v>120</v>
      </c>
      <c r="J76">
        <v>0</v>
      </c>
      <c r="K76">
        <v>0</v>
      </c>
      <c r="N76">
        <v>0</v>
      </c>
    </row>
    <row r="77" spans="1:14" ht="12.75">
      <c r="A77">
        <v>70</v>
      </c>
      <c r="B77">
        <v>1</v>
      </c>
      <c r="D77">
        <v>13</v>
      </c>
      <c r="E77" t="s">
        <v>121</v>
      </c>
      <c r="F77" t="s">
        <v>122</v>
      </c>
      <c r="G77">
        <v>0.94</v>
      </c>
      <c r="H77">
        <v>0.94</v>
      </c>
      <c r="I77" t="s">
        <v>123</v>
      </c>
      <c r="J77">
        <v>0</v>
      </c>
      <c r="K77">
        <v>0</v>
      </c>
      <c r="N77">
        <v>0</v>
      </c>
    </row>
    <row r="78" spans="1:14" ht="12.75">
      <c r="A78">
        <v>70</v>
      </c>
      <c r="B78">
        <v>1</v>
      </c>
      <c r="D78">
        <v>0</v>
      </c>
      <c r="E78" t="s">
        <v>124</v>
      </c>
      <c r="F78" t="s">
        <v>125</v>
      </c>
      <c r="G78">
        <v>0</v>
      </c>
      <c r="H78">
        <v>0</v>
      </c>
      <c r="I78" t="s">
        <v>126</v>
      </c>
      <c r="J78">
        <v>0</v>
      </c>
      <c r="K78">
        <v>0</v>
      </c>
      <c r="N78">
        <v>0</v>
      </c>
    </row>
    <row r="81" spans="1:5" ht="12.75">
      <c r="A81">
        <v>65</v>
      </c>
      <c r="C81">
        <v>1</v>
      </c>
      <c r="D81">
        <v>0</v>
      </c>
      <c r="E81">
        <v>200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B25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80" ht="12.75">
      <c r="A1">
        <f>ROW(Source!A23)</f>
        <v>23</v>
      </c>
      <c r="B1">
        <v>16637203</v>
      </c>
      <c r="C1">
        <v>16637129</v>
      </c>
      <c r="D1">
        <v>15744324</v>
      </c>
      <c r="E1">
        <v>1</v>
      </c>
      <c r="F1">
        <v>1</v>
      </c>
      <c r="G1">
        <v>1</v>
      </c>
      <c r="H1">
        <v>1</v>
      </c>
      <c r="I1" t="s">
        <v>127</v>
      </c>
      <c r="L1">
        <v>1369</v>
      </c>
      <c r="Y1">
        <v>149.385</v>
      </c>
      <c r="AA1">
        <v>0</v>
      </c>
      <c r="AB1">
        <v>0</v>
      </c>
      <c r="AC1">
        <v>0</v>
      </c>
      <c r="AD1">
        <v>8.86</v>
      </c>
      <c r="AN1">
        <v>0</v>
      </c>
      <c r="AO1">
        <v>1</v>
      </c>
      <c r="AP1">
        <v>1</v>
      </c>
      <c r="AQ1">
        <v>0</v>
      </c>
      <c r="AR1">
        <v>0</v>
      </c>
      <c r="AT1">
        <v>129.9</v>
      </c>
      <c r="AU1" t="s">
        <v>17</v>
      </c>
      <c r="AV1">
        <v>1</v>
      </c>
      <c r="AW1">
        <v>2</v>
      </c>
      <c r="AX1">
        <v>16637203</v>
      </c>
      <c r="AY1">
        <v>1</v>
      </c>
      <c r="AZ1">
        <v>0</v>
      </c>
      <c r="BA1">
        <v>1</v>
      </c>
      <c r="BB1">
        <v>0</v>
      </c>
      <c r="BC1">
        <v>0</v>
      </c>
      <c r="BD1">
        <v>0</v>
      </c>
      <c r="BE1">
        <v>0</v>
      </c>
      <c r="BF1">
        <v>0</v>
      </c>
      <c r="BG1">
        <v>0</v>
      </c>
      <c r="BH1">
        <v>0</v>
      </c>
      <c r="BI1">
        <v>0</v>
      </c>
      <c r="BJ1">
        <v>0</v>
      </c>
      <c r="BK1">
        <v>0</v>
      </c>
      <c r="BL1">
        <v>0</v>
      </c>
      <c r="BM1">
        <v>0</v>
      </c>
      <c r="BN1">
        <v>0</v>
      </c>
      <c r="BO1">
        <v>0</v>
      </c>
      <c r="BP1">
        <v>0</v>
      </c>
      <c r="BQ1">
        <v>0</v>
      </c>
      <c r="BR1">
        <v>0</v>
      </c>
      <c r="BS1">
        <v>0</v>
      </c>
      <c r="BT1">
        <v>0</v>
      </c>
      <c r="BU1">
        <v>0</v>
      </c>
      <c r="BV1">
        <v>0</v>
      </c>
      <c r="BW1">
        <v>0</v>
      </c>
      <c r="CB1">
        <v>0</v>
      </c>
    </row>
    <row r="2" spans="1:80" ht="12.75">
      <c r="A2">
        <f>ROW(Source!A23)</f>
        <v>23</v>
      </c>
      <c r="B2">
        <v>16637204</v>
      </c>
      <c r="C2">
        <v>16637129</v>
      </c>
      <c r="D2">
        <v>121548</v>
      </c>
      <c r="E2">
        <v>1</v>
      </c>
      <c r="F2">
        <v>1</v>
      </c>
      <c r="G2">
        <v>1</v>
      </c>
      <c r="H2">
        <v>1</v>
      </c>
      <c r="I2" t="s">
        <v>127</v>
      </c>
      <c r="L2">
        <v>608254</v>
      </c>
      <c r="Y2">
        <v>1.5869999999999997</v>
      </c>
      <c r="AA2">
        <v>0</v>
      </c>
      <c r="AB2">
        <v>0</v>
      </c>
      <c r="AC2">
        <v>0</v>
      </c>
      <c r="AD2">
        <v>0</v>
      </c>
      <c r="AN2">
        <v>0</v>
      </c>
      <c r="AO2">
        <v>1</v>
      </c>
      <c r="AP2">
        <v>1</v>
      </c>
      <c r="AQ2">
        <v>0</v>
      </c>
      <c r="AR2">
        <v>0</v>
      </c>
      <c r="AT2">
        <v>1.38</v>
      </c>
      <c r="AU2" t="s">
        <v>17</v>
      </c>
      <c r="AV2">
        <v>2</v>
      </c>
      <c r="AW2">
        <v>2</v>
      </c>
      <c r="AX2">
        <v>16637204</v>
      </c>
      <c r="AY2">
        <v>1</v>
      </c>
      <c r="AZ2">
        <v>0</v>
      </c>
      <c r="BA2">
        <v>2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CB2">
        <v>0</v>
      </c>
    </row>
    <row r="3" spans="1:80" ht="12.75">
      <c r="A3">
        <f>ROW(Source!A23)</f>
        <v>23</v>
      </c>
      <c r="B3">
        <v>16637205</v>
      </c>
      <c r="C3">
        <v>16637129</v>
      </c>
      <c r="D3">
        <v>15693529</v>
      </c>
      <c r="E3">
        <v>1</v>
      </c>
      <c r="F3">
        <v>1</v>
      </c>
      <c r="G3">
        <v>1</v>
      </c>
      <c r="H3">
        <v>2</v>
      </c>
      <c r="I3" t="s">
        <v>127</v>
      </c>
      <c r="L3">
        <v>1368</v>
      </c>
      <c r="Y3">
        <v>2.415</v>
      </c>
      <c r="AA3">
        <v>0</v>
      </c>
      <c r="AB3">
        <v>1.7</v>
      </c>
      <c r="AC3">
        <v>0</v>
      </c>
      <c r="AD3">
        <v>0</v>
      </c>
      <c r="AN3">
        <v>0</v>
      </c>
      <c r="AO3">
        <v>1</v>
      </c>
      <c r="AP3">
        <v>1</v>
      </c>
      <c r="AQ3">
        <v>0</v>
      </c>
      <c r="AR3">
        <v>0</v>
      </c>
      <c r="AT3">
        <v>2.1</v>
      </c>
      <c r="AU3" t="s">
        <v>17</v>
      </c>
      <c r="AV3">
        <v>0</v>
      </c>
      <c r="AW3">
        <v>2</v>
      </c>
      <c r="AX3">
        <v>16637205</v>
      </c>
      <c r="AY3">
        <v>1</v>
      </c>
      <c r="AZ3">
        <v>0</v>
      </c>
      <c r="BA3">
        <v>3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CB3">
        <v>0</v>
      </c>
    </row>
    <row r="4" spans="1:80" ht="12.75">
      <c r="A4">
        <f>ROW(Source!A23)</f>
        <v>23</v>
      </c>
      <c r="B4">
        <v>16637206</v>
      </c>
      <c r="C4">
        <v>16637129</v>
      </c>
      <c r="D4">
        <v>15693671</v>
      </c>
      <c r="E4">
        <v>1</v>
      </c>
      <c r="F4">
        <v>1</v>
      </c>
      <c r="G4">
        <v>1</v>
      </c>
      <c r="H4">
        <v>2</v>
      </c>
      <c r="I4" t="s">
        <v>127</v>
      </c>
      <c r="L4">
        <v>1368</v>
      </c>
      <c r="Y4">
        <v>1.5869999999999997</v>
      </c>
      <c r="AA4">
        <v>0</v>
      </c>
      <c r="AB4">
        <v>46.56</v>
      </c>
      <c r="AC4">
        <v>10.06</v>
      </c>
      <c r="AD4">
        <v>0</v>
      </c>
      <c r="AN4">
        <v>0</v>
      </c>
      <c r="AO4">
        <v>1</v>
      </c>
      <c r="AP4">
        <v>1</v>
      </c>
      <c r="AQ4">
        <v>0</v>
      </c>
      <c r="AR4">
        <v>0</v>
      </c>
      <c r="AT4">
        <v>1.38</v>
      </c>
      <c r="AU4" t="s">
        <v>17</v>
      </c>
      <c r="AV4">
        <v>0</v>
      </c>
      <c r="AW4">
        <v>2</v>
      </c>
      <c r="AX4">
        <v>16637206</v>
      </c>
      <c r="AY4">
        <v>1</v>
      </c>
      <c r="AZ4">
        <v>0</v>
      </c>
      <c r="BA4">
        <v>4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CB4">
        <v>0</v>
      </c>
    </row>
    <row r="5" spans="1:80" ht="12.75">
      <c r="A5">
        <f>ROW(Source!A23)</f>
        <v>23</v>
      </c>
      <c r="B5">
        <v>16637207</v>
      </c>
      <c r="C5">
        <v>16637129</v>
      </c>
      <c r="D5">
        <v>15694886</v>
      </c>
      <c r="E5">
        <v>1</v>
      </c>
      <c r="F5">
        <v>1</v>
      </c>
      <c r="G5">
        <v>1</v>
      </c>
      <c r="H5">
        <v>2</v>
      </c>
      <c r="I5" t="s">
        <v>127</v>
      </c>
      <c r="L5">
        <v>1368</v>
      </c>
      <c r="Y5">
        <v>1.5869999999999997</v>
      </c>
      <c r="AA5">
        <v>0</v>
      </c>
      <c r="AB5">
        <v>1.53</v>
      </c>
      <c r="AC5">
        <v>0</v>
      </c>
      <c r="AD5">
        <v>0</v>
      </c>
      <c r="AN5">
        <v>0</v>
      </c>
      <c r="AO5">
        <v>1</v>
      </c>
      <c r="AP5">
        <v>1</v>
      </c>
      <c r="AQ5">
        <v>0</v>
      </c>
      <c r="AR5">
        <v>0</v>
      </c>
      <c r="AT5">
        <v>1.38</v>
      </c>
      <c r="AU5" t="s">
        <v>17</v>
      </c>
      <c r="AV5">
        <v>0</v>
      </c>
      <c r="AW5">
        <v>2</v>
      </c>
      <c r="AX5">
        <v>16637207</v>
      </c>
      <c r="AY5">
        <v>1</v>
      </c>
      <c r="AZ5">
        <v>0</v>
      </c>
      <c r="BA5">
        <v>5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CB5">
        <v>0</v>
      </c>
    </row>
    <row r="6" spans="1:80" ht="12.75">
      <c r="A6">
        <f>ROW(Source!A23)</f>
        <v>23</v>
      </c>
      <c r="B6">
        <v>16637208</v>
      </c>
      <c r="C6">
        <v>16637129</v>
      </c>
      <c r="D6">
        <v>15696781</v>
      </c>
      <c r="E6">
        <v>1</v>
      </c>
      <c r="F6">
        <v>1</v>
      </c>
      <c r="G6">
        <v>1</v>
      </c>
      <c r="H6">
        <v>3</v>
      </c>
      <c r="I6" t="s">
        <v>127</v>
      </c>
      <c r="L6">
        <v>1348</v>
      </c>
      <c r="Y6">
        <v>0.021</v>
      </c>
      <c r="AA6">
        <v>412.01</v>
      </c>
      <c r="AB6">
        <v>0</v>
      </c>
      <c r="AC6">
        <v>0</v>
      </c>
      <c r="AD6">
        <v>0</v>
      </c>
      <c r="AN6">
        <v>0</v>
      </c>
      <c r="AO6">
        <v>1</v>
      </c>
      <c r="AP6">
        <v>0</v>
      </c>
      <c r="AQ6">
        <v>0</v>
      </c>
      <c r="AR6">
        <v>0</v>
      </c>
      <c r="AT6">
        <v>0.021</v>
      </c>
      <c r="AV6">
        <v>0</v>
      </c>
      <c r="AW6">
        <v>2</v>
      </c>
      <c r="AX6">
        <v>16637208</v>
      </c>
      <c r="AY6">
        <v>1</v>
      </c>
      <c r="AZ6">
        <v>0</v>
      </c>
      <c r="BA6">
        <v>6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CB6">
        <v>0</v>
      </c>
    </row>
    <row r="7" spans="1:80" ht="12.75">
      <c r="A7">
        <f>ROW(Source!A23)</f>
        <v>23</v>
      </c>
      <c r="B7">
        <v>16637209</v>
      </c>
      <c r="C7">
        <v>16637129</v>
      </c>
      <c r="D7">
        <v>15710795</v>
      </c>
      <c r="E7">
        <v>1</v>
      </c>
      <c r="F7">
        <v>1</v>
      </c>
      <c r="G7">
        <v>1</v>
      </c>
      <c r="H7">
        <v>3</v>
      </c>
      <c r="I7" t="s">
        <v>127</v>
      </c>
      <c r="L7">
        <v>1339</v>
      </c>
      <c r="Y7">
        <v>2.14</v>
      </c>
      <c r="AA7">
        <v>519.8</v>
      </c>
      <c r="AB7">
        <v>0</v>
      </c>
      <c r="AC7">
        <v>0</v>
      </c>
      <c r="AD7">
        <v>0</v>
      </c>
      <c r="AN7">
        <v>0</v>
      </c>
      <c r="AO7">
        <v>1</v>
      </c>
      <c r="AP7">
        <v>0</v>
      </c>
      <c r="AQ7">
        <v>0</v>
      </c>
      <c r="AR7">
        <v>0</v>
      </c>
      <c r="AT7">
        <v>2.14</v>
      </c>
      <c r="AV7">
        <v>0</v>
      </c>
      <c r="AW7">
        <v>2</v>
      </c>
      <c r="AX7">
        <v>16637209</v>
      </c>
      <c r="AY7">
        <v>1</v>
      </c>
      <c r="AZ7">
        <v>0</v>
      </c>
      <c r="BA7">
        <v>7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CB7">
        <v>0</v>
      </c>
    </row>
    <row r="8" spans="1:80" ht="12.75">
      <c r="A8">
        <f>ROW(Source!A23)</f>
        <v>23</v>
      </c>
      <c r="B8">
        <v>16637210</v>
      </c>
      <c r="C8">
        <v>16637129</v>
      </c>
      <c r="D8">
        <v>15726389</v>
      </c>
      <c r="E8">
        <v>1</v>
      </c>
      <c r="F8">
        <v>1</v>
      </c>
      <c r="G8">
        <v>1</v>
      </c>
      <c r="H8">
        <v>3</v>
      </c>
      <c r="I8" t="s">
        <v>128</v>
      </c>
      <c r="J8" t="s">
        <v>129</v>
      </c>
      <c r="K8" t="s">
        <v>130</v>
      </c>
      <c r="L8">
        <v>1348</v>
      </c>
      <c r="N8">
        <v>1009</v>
      </c>
      <c r="O8" t="s">
        <v>131</v>
      </c>
      <c r="P8" t="s">
        <v>131</v>
      </c>
      <c r="Q8">
        <v>1000</v>
      </c>
      <c r="Y8">
        <v>1.48</v>
      </c>
      <c r="AA8">
        <v>0</v>
      </c>
      <c r="AB8">
        <v>0</v>
      </c>
      <c r="AC8">
        <v>0</v>
      </c>
      <c r="AD8">
        <v>0</v>
      </c>
      <c r="AN8">
        <v>1</v>
      </c>
      <c r="AO8">
        <v>0</v>
      </c>
      <c r="AP8">
        <v>0</v>
      </c>
      <c r="AQ8">
        <v>0</v>
      </c>
      <c r="AR8">
        <v>0</v>
      </c>
      <c r="AT8">
        <v>1.48</v>
      </c>
      <c r="AV8">
        <v>0</v>
      </c>
      <c r="AW8">
        <v>2</v>
      </c>
      <c r="AX8">
        <v>16637210</v>
      </c>
      <c r="AY8">
        <v>1</v>
      </c>
      <c r="AZ8">
        <v>0</v>
      </c>
      <c r="BA8">
        <v>8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CB8">
        <v>0</v>
      </c>
    </row>
    <row r="9" spans="1:80" ht="12.75">
      <c r="A9">
        <f>ROW(Source!A24)</f>
        <v>24</v>
      </c>
      <c r="B9">
        <v>16637212</v>
      </c>
      <c r="C9">
        <v>16637086</v>
      </c>
      <c r="D9">
        <v>15748127</v>
      </c>
      <c r="E9">
        <v>1</v>
      </c>
      <c r="F9">
        <v>1</v>
      </c>
      <c r="G9">
        <v>1</v>
      </c>
      <c r="H9">
        <v>1</v>
      </c>
      <c r="I9" t="s">
        <v>127</v>
      </c>
      <c r="L9">
        <v>1369</v>
      </c>
      <c r="Y9">
        <v>49.495999999999995</v>
      </c>
      <c r="AA9">
        <v>0</v>
      </c>
      <c r="AB9">
        <v>0</v>
      </c>
      <c r="AC9">
        <v>0</v>
      </c>
      <c r="AD9">
        <v>8.74</v>
      </c>
      <c r="AN9">
        <v>0</v>
      </c>
      <c r="AO9">
        <v>1</v>
      </c>
      <c r="AP9">
        <v>1</v>
      </c>
      <c r="AQ9">
        <v>0</v>
      </c>
      <c r="AR9">
        <v>0</v>
      </c>
      <c r="AT9">
        <v>43.04</v>
      </c>
      <c r="AU9" t="s">
        <v>17</v>
      </c>
      <c r="AV9">
        <v>1</v>
      </c>
      <c r="AW9">
        <v>2</v>
      </c>
      <c r="AX9">
        <v>16637212</v>
      </c>
      <c r="AY9">
        <v>1</v>
      </c>
      <c r="AZ9">
        <v>0</v>
      </c>
      <c r="BA9">
        <v>9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CB9">
        <v>0</v>
      </c>
    </row>
    <row r="10" spans="1:80" ht="12.75">
      <c r="A10">
        <f>ROW(Source!A24)</f>
        <v>24</v>
      </c>
      <c r="B10">
        <v>16637213</v>
      </c>
      <c r="C10">
        <v>16637086</v>
      </c>
      <c r="D10">
        <v>121548</v>
      </c>
      <c r="E10">
        <v>1</v>
      </c>
      <c r="F10">
        <v>1</v>
      </c>
      <c r="G10">
        <v>1</v>
      </c>
      <c r="H10">
        <v>1</v>
      </c>
      <c r="I10" t="s">
        <v>127</v>
      </c>
      <c r="L10">
        <v>608254</v>
      </c>
      <c r="Y10">
        <v>0.3105</v>
      </c>
      <c r="AA10">
        <v>0</v>
      </c>
      <c r="AB10">
        <v>0</v>
      </c>
      <c r="AC10">
        <v>0</v>
      </c>
      <c r="AD10">
        <v>0</v>
      </c>
      <c r="AN10">
        <v>0</v>
      </c>
      <c r="AO10">
        <v>1</v>
      </c>
      <c r="AP10">
        <v>1</v>
      </c>
      <c r="AQ10">
        <v>0</v>
      </c>
      <c r="AR10">
        <v>0</v>
      </c>
      <c r="AT10">
        <v>0.27</v>
      </c>
      <c r="AU10" t="s">
        <v>17</v>
      </c>
      <c r="AV10">
        <v>2</v>
      </c>
      <c r="AW10">
        <v>2</v>
      </c>
      <c r="AX10">
        <v>16637213</v>
      </c>
      <c r="AY10">
        <v>1</v>
      </c>
      <c r="AZ10">
        <v>0</v>
      </c>
      <c r="BA10">
        <v>10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CB10">
        <v>0</v>
      </c>
    </row>
    <row r="11" spans="1:80" ht="12.75">
      <c r="A11">
        <f>ROW(Source!A24)</f>
        <v>24</v>
      </c>
      <c r="B11">
        <v>16637214</v>
      </c>
      <c r="C11">
        <v>16637086</v>
      </c>
      <c r="D11">
        <v>15693564</v>
      </c>
      <c r="E11">
        <v>1</v>
      </c>
      <c r="F11">
        <v>1</v>
      </c>
      <c r="G11">
        <v>1</v>
      </c>
      <c r="H11">
        <v>2</v>
      </c>
      <c r="I11" t="s">
        <v>127</v>
      </c>
      <c r="L11">
        <v>1368</v>
      </c>
      <c r="Y11">
        <v>0.3105</v>
      </c>
      <c r="AA11">
        <v>0</v>
      </c>
      <c r="AB11">
        <v>31.26</v>
      </c>
      <c r="AC11">
        <v>11.6</v>
      </c>
      <c r="AD11">
        <v>0</v>
      </c>
      <c r="AN11">
        <v>0</v>
      </c>
      <c r="AO11">
        <v>1</v>
      </c>
      <c r="AP11">
        <v>1</v>
      </c>
      <c r="AQ11">
        <v>0</v>
      </c>
      <c r="AR11">
        <v>0</v>
      </c>
      <c r="AT11">
        <v>0.27</v>
      </c>
      <c r="AU11" t="s">
        <v>17</v>
      </c>
      <c r="AV11">
        <v>0</v>
      </c>
      <c r="AW11">
        <v>2</v>
      </c>
      <c r="AX11">
        <v>16637214</v>
      </c>
      <c r="AY11">
        <v>1</v>
      </c>
      <c r="AZ11">
        <v>0</v>
      </c>
      <c r="BA11">
        <v>11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CB11">
        <v>0</v>
      </c>
    </row>
    <row r="12" spans="1:80" ht="12.75">
      <c r="A12">
        <f>ROW(Source!A24)</f>
        <v>24</v>
      </c>
      <c r="B12">
        <v>16637215</v>
      </c>
      <c r="C12">
        <v>16637086</v>
      </c>
      <c r="D12">
        <v>15694083</v>
      </c>
      <c r="E12">
        <v>1</v>
      </c>
      <c r="F12">
        <v>1</v>
      </c>
      <c r="G12">
        <v>1</v>
      </c>
      <c r="H12">
        <v>2</v>
      </c>
      <c r="I12" t="s">
        <v>127</v>
      </c>
      <c r="L12">
        <v>1368</v>
      </c>
      <c r="Y12">
        <v>1.7134999999999998</v>
      </c>
      <c r="AA12">
        <v>0</v>
      </c>
      <c r="AB12">
        <v>30</v>
      </c>
      <c r="AC12">
        <v>0</v>
      </c>
      <c r="AD12">
        <v>0</v>
      </c>
      <c r="AN12">
        <v>0</v>
      </c>
      <c r="AO12">
        <v>1</v>
      </c>
      <c r="AP12">
        <v>1</v>
      </c>
      <c r="AQ12">
        <v>0</v>
      </c>
      <c r="AR12">
        <v>0</v>
      </c>
      <c r="AT12">
        <v>1.49</v>
      </c>
      <c r="AU12" t="s">
        <v>17</v>
      </c>
      <c r="AV12">
        <v>0</v>
      </c>
      <c r="AW12">
        <v>2</v>
      </c>
      <c r="AX12">
        <v>16637215</v>
      </c>
      <c r="AY12">
        <v>1</v>
      </c>
      <c r="AZ12">
        <v>0</v>
      </c>
      <c r="BA12">
        <v>12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  <c r="CB12">
        <v>0</v>
      </c>
    </row>
    <row r="13" spans="1:80" ht="12.75">
      <c r="A13">
        <f>ROW(Source!A24)</f>
        <v>24</v>
      </c>
      <c r="B13">
        <v>16637216</v>
      </c>
      <c r="C13">
        <v>16637086</v>
      </c>
      <c r="D13">
        <v>15695170</v>
      </c>
      <c r="E13">
        <v>1</v>
      </c>
      <c r="F13">
        <v>1</v>
      </c>
      <c r="G13">
        <v>1</v>
      </c>
      <c r="H13">
        <v>2</v>
      </c>
      <c r="I13" t="s">
        <v>127</v>
      </c>
      <c r="L13">
        <v>1368</v>
      </c>
      <c r="Y13">
        <v>0.207</v>
      </c>
      <c r="AA13">
        <v>0</v>
      </c>
      <c r="AB13">
        <v>87.17</v>
      </c>
      <c r="AC13">
        <v>11.6</v>
      </c>
      <c r="AD13">
        <v>0</v>
      </c>
      <c r="AN13">
        <v>0</v>
      </c>
      <c r="AO13">
        <v>1</v>
      </c>
      <c r="AP13">
        <v>1</v>
      </c>
      <c r="AQ13">
        <v>0</v>
      </c>
      <c r="AR13">
        <v>0</v>
      </c>
      <c r="AT13">
        <v>0.18</v>
      </c>
      <c r="AU13" t="s">
        <v>17</v>
      </c>
      <c r="AV13">
        <v>0</v>
      </c>
      <c r="AW13">
        <v>2</v>
      </c>
      <c r="AX13">
        <v>16637216</v>
      </c>
      <c r="AY13">
        <v>1</v>
      </c>
      <c r="AZ13">
        <v>0</v>
      </c>
      <c r="BA13">
        <v>13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CB13">
        <v>0</v>
      </c>
    </row>
    <row r="14" spans="1:80" ht="12.75">
      <c r="A14">
        <f>ROW(Source!A24)</f>
        <v>24</v>
      </c>
      <c r="B14">
        <v>16637217</v>
      </c>
      <c r="C14">
        <v>16637086</v>
      </c>
      <c r="D14">
        <v>15696269</v>
      </c>
      <c r="E14">
        <v>1</v>
      </c>
      <c r="F14">
        <v>1</v>
      </c>
      <c r="G14">
        <v>1</v>
      </c>
      <c r="H14">
        <v>3</v>
      </c>
      <c r="I14" t="s">
        <v>127</v>
      </c>
      <c r="L14">
        <v>1348</v>
      </c>
      <c r="Y14">
        <v>0.57</v>
      </c>
      <c r="AA14">
        <v>3390</v>
      </c>
      <c r="AB14">
        <v>0</v>
      </c>
      <c r="AC14">
        <v>0</v>
      </c>
      <c r="AD14">
        <v>0</v>
      </c>
      <c r="AN14">
        <v>0</v>
      </c>
      <c r="AO14">
        <v>1</v>
      </c>
      <c r="AP14">
        <v>0</v>
      </c>
      <c r="AQ14">
        <v>0</v>
      </c>
      <c r="AR14">
        <v>0</v>
      </c>
      <c r="AT14">
        <v>0.57</v>
      </c>
      <c r="AV14">
        <v>0</v>
      </c>
      <c r="AW14">
        <v>2</v>
      </c>
      <c r="AX14">
        <v>16637217</v>
      </c>
      <c r="AY14">
        <v>1</v>
      </c>
      <c r="AZ14">
        <v>0</v>
      </c>
      <c r="BA14">
        <v>14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CB14">
        <v>0</v>
      </c>
    </row>
    <row r="15" spans="1:80" ht="12.75">
      <c r="A15">
        <f>ROW(Source!A24)</f>
        <v>24</v>
      </c>
      <c r="B15">
        <v>16637218</v>
      </c>
      <c r="C15">
        <v>16637086</v>
      </c>
      <c r="D15">
        <v>15697231</v>
      </c>
      <c r="E15">
        <v>1</v>
      </c>
      <c r="F15">
        <v>1</v>
      </c>
      <c r="G15">
        <v>1</v>
      </c>
      <c r="H15">
        <v>3</v>
      </c>
      <c r="I15" t="s">
        <v>30</v>
      </c>
      <c r="J15" t="s">
        <v>33</v>
      </c>
      <c r="K15" t="s">
        <v>31</v>
      </c>
      <c r="L15">
        <v>1327</v>
      </c>
      <c r="N15">
        <v>1005</v>
      </c>
      <c r="O15" t="s">
        <v>32</v>
      </c>
      <c r="P15" t="s">
        <v>32</v>
      </c>
      <c r="Q15">
        <v>1</v>
      </c>
      <c r="Y15">
        <v>233.082353</v>
      </c>
      <c r="AA15">
        <v>45.2</v>
      </c>
      <c r="AB15">
        <v>0</v>
      </c>
      <c r="AC15">
        <v>0</v>
      </c>
      <c r="AD15">
        <v>0</v>
      </c>
      <c r="AN15">
        <v>1</v>
      </c>
      <c r="AO15">
        <v>0</v>
      </c>
      <c r="AP15">
        <v>0</v>
      </c>
      <c r="AQ15">
        <v>0</v>
      </c>
      <c r="AR15">
        <v>0</v>
      </c>
      <c r="AT15">
        <v>233.082353</v>
      </c>
      <c r="AV15">
        <v>0</v>
      </c>
      <c r="AW15">
        <v>1</v>
      </c>
      <c r="AX15">
        <v>-1</v>
      </c>
      <c r="AY15">
        <v>0</v>
      </c>
      <c r="AZ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CB15">
        <v>0</v>
      </c>
    </row>
    <row r="16" spans="1:80" ht="12.75">
      <c r="A16">
        <f>ROW(Source!A24)</f>
        <v>24</v>
      </c>
      <c r="B16">
        <v>16637219</v>
      </c>
      <c r="C16">
        <v>16637086</v>
      </c>
      <c r="D16">
        <v>15726389</v>
      </c>
      <c r="E16">
        <v>1</v>
      </c>
      <c r="F16">
        <v>1</v>
      </c>
      <c r="G16">
        <v>1</v>
      </c>
      <c r="H16">
        <v>3</v>
      </c>
      <c r="I16" t="s">
        <v>128</v>
      </c>
      <c r="J16" t="s">
        <v>129</v>
      </c>
      <c r="K16" t="s">
        <v>130</v>
      </c>
      <c r="L16">
        <v>1348</v>
      </c>
      <c r="N16">
        <v>1009</v>
      </c>
      <c r="O16" t="s">
        <v>131</v>
      </c>
      <c r="P16" t="s">
        <v>131</v>
      </c>
      <c r="Q16">
        <v>1000</v>
      </c>
      <c r="Y16">
        <v>0.65</v>
      </c>
      <c r="AA16">
        <v>0</v>
      </c>
      <c r="AB16">
        <v>0</v>
      </c>
      <c r="AC16">
        <v>0</v>
      </c>
      <c r="AD16">
        <v>0</v>
      </c>
      <c r="AN16">
        <v>1</v>
      </c>
      <c r="AO16">
        <v>0</v>
      </c>
      <c r="AP16">
        <v>0</v>
      </c>
      <c r="AQ16">
        <v>0</v>
      </c>
      <c r="AR16">
        <v>0</v>
      </c>
      <c r="AT16">
        <v>0.65</v>
      </c>
      <c r="AV16">
        <v>0</v>
      </c>
      <c r="AW16">
        <v>2</v>
      </c>
      <c r="AX16">
        <v>16637219</v>
      </c>
      <c r="AY16">
        <v>1</v>
      </c>
      <c r="AZ16">
        <v>0</v>
      </c>
      <c r="BA16">
        <v>16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CB16">
        <v>0</v>
      </c>
    </row>
    <row r="17" spans="1:80" ht="12.75">
      <c r="A17">
        <f>ROW(Source!A26)</f>
        <v>26</v>
      </c>
      <c r="B17">
        <v>16637222</v>
      </c>
      <c r="C17">
        <v>16637157</v>
      </c>
      <c r="D17">
        <v>15750915</v>
      </c>
      <c r="E17">
        <v>1</v>
      </c>
      <c r="F17">
        <v>1</v>
      </c>
      <c r="G17">
        <v>1</v>
      </c>
      <c r="H17">
        <v>1</v>
      </c>
      <c r="I17" t="s">
        <v>127</v>
      </c>
      <c r="L17">
        <v>1369</v>
      </c>
      <c r="Y17">
        <v>34.51725</v>
      </c>
      <c r="AA17">
        <v>0</v>
      </c>
      <c r="AB17">
        <v>0</v>
      </c>
      <c r="AC17">
        <v>0</v>
      </c>
      <c r="AD17">
        <v>9.18</v>
      </c>
      <c r="AN17">
        <v>0</v>
      </c>
      <c r="AO17">
        <v>1</v>
      </c>
      <c r="AP17">
        <v>1</v>
      </c>
      <c r="AQ17">
        <v>0</v>
      </c>
      <c r="AR17">
        <v>0</v>
      </c>
      <c r="AT17">
        <v>26.1</v>
      </c>
      <c r="AU17" t="s">
        <v>40</v>
      </c>
      <c r="AV17">
        <v>1</v>
      </c>
      <c r="AW17">
        <v>2</v>
      </c>
      <c r="AX17">
        <v>16637222</v>
      </c>
      <c r="AY17">
        <v>1</v>
      </c>
      <c r="AZ17">
        <v>0</v>
      </c>
      <c r="BA17">
        <v>17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CB17">
        <v>0</v>
      </c>
    </row>
    <row r="18" spans="1:80" ht="12.75">
      <c r="A18">
        <f>ROW(Source!A26)</f>
        <v>26</v>
      </c>
      <c r="B18">
        <v>16637223</v>
      </c>
      <c r="C18">
        <v>16637157</v>
      </c>
      <c r="D18">
        <v>121548</v>
      </c>
      <c r="E18">
        <v>1</v>
      </c>
      <c r="F18">
        <v>1</v>
      </c>
      <c r="G18">
        <v>1</v>
      </c>
      <c r="H18">
        <v>1</v>
      </c>
      <c r="I18" t="s">
        <v>127</v>
      </c>
      <c r="L18">
        <v>608254</v>
      </c>
      <c r="Y18">
        <v>0.345</v>
      </c>
      <c r="AA18">
        <v>0</v>
      </c>
      <c r="AB18">
        <v>0</v>
      </c>
      <c r="AC18">
        <v>0</v>
      </c>
      <c r="AD18">
        <v>0</v>
      </c>
      <c r="AN18">
        <v>0</v>
      </c>
      <c r="AO18">
        <v>1</v>
      </c>
      <c r="AP18">
        <v>1</v>
      </c>
      <c r="AQ18">
        <v>0</v>
      </c>
      <c r="AR18">
        <v>0</v>
      </c>
      <c r="AT18">
        <v>0.24</v>
      </c>
      <c r="AU18" t="s">
        <v>39</v>
      </c>
      <c r="AV18">
        <v>2</v>
      </c>
      <c r="AW18">
        <v>2</v>
      </c>
      <c r="AX18">
        <v>16637223</v>
      </c>
      <c r="AY18">
        <v>1</v>
      </c>
      <c r="AZ18">
        <v>0</v>
      </c>
      <c r="BA18">
        <v>18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CB18">
        <v>0</v>
      </c>
    </row>
    <row r="19" spans="1:80" ht="12.75">
      <c r="A19">
        <f>ROW(Source!A26)</f>
        <v>26</v>
      </c>
      <c r="B19">
        <v>16637224</v>
      </c>
      <c r="C19">
        <v>16637157</v>
      </c>
      <c r="D19">
        <v>15693350</v>
      </c>
      <c r="E19">
        <v>1</v>
      </c>
      <c r="F19">
        <v>1</v>
      </c>
      <c r="G19">
        <v>1</v>
      </c>
      <c r="H19">
        <v>2</v>
      </c>
      <c r="I19" t="s">
        <v>127</v>
      </c>
      <c r="L19">
        <v>1368</v>
      </c>
      <c r="Y19">
        <v>0.21562499999999998</v>
      </c>
      <c r="AA19">
        <v>0</v>
      </c>
      <c r="AB19">
        <v>86.4</v>
      </c>
      <c r="AC19">
        <v>13.5</v>
      </c>
      <c r="AD19">
        <v>0</v>
      </c>
      <c r="AN19">
        <v>0</v>
      </c>
      <c r="AO19">
        <v>1</v>
      </c>
      <c r="AP19">
        <v>1</v>
      </c>
      <c r="AQ19">
        <v>0</v>
      </c>
      <c r="AR19">
        <v>0</v>
      </c>
      <c r="AT19">
        <v>0.15</v>
      </c>
      <c r="AU19" t="s">
        <v>39</v>
      </c>
      <c r="AV19">
        <v>0</v>
      </c>
      <c r="AW19">
        <v>2</v>
      </c>
      <c r="AX19">
        <v>16637224</v>
      </c>
      <c r="AY19">
        <v>1</v>
      </c>
      <c r="AZ19">
        <v>0</v>
      </c>
      <c r="BA19">
        <v>19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CB19">
        <v>0</v>
      </c>
    </row>
    <row r="20" spans="1:80" ht="12.75">
      <c r="A20">
        <f>ROW(Source!A26)</f>
        <v>26</v>
      </c>
      <c r="B20">
        <v>16637225</v>
      </c>
      <c r="C20">
        <v>16637157</v>
      </c>
      <c r="D20">
        <v>15693434</v>
      </c>
      <c r="E20">
        <v>1</v>
      </c>
      <c r="F20">
        <v>1</v>
      </c>
      <c r="G20">
        <v>1</v>
      </c>
      <c r="H20">
        <v>2</v>
      </c>
      <c r="I20" t="s">
        <v>127</v>
      </c>
      <c r="L20">
        <v>1368</v>
      </c>
      <c r="Y20">
        <v>0.129375</v>
      </c>
      <c r="AA20">
        <v>0</v>
      </c>
      <c r="AB20">
        <v>112</v>
      </c>
      <c r="AC20">
        <v>13.5</v>
      </c>
      <c r="AD20">
        <v>0</v>
      </c>
      <c r="AN20">
        <v>0</v>
      </c>
      <c r="AO20">
        <v>1</v>
      </c>
      <c r="AP20">
        <v>1</v>
      </c>
      <c r="AQ20">
        <v>0</v>
      </c>
      <c r="AR20">
        <v>0</v>
      </c>
      <c r="AT20">
        <v>0.09</v>
      </c>
      <c r="AU20" t="s">
        <v>39</v>
      </c>
      <c r="AV20">
        <v>0</v>
      </c>
      <c r="AW20">
        <v>2</v>
      </c>
      <c r="AX20">
        <v>16637225</v>
      </c>
      <c r="AY20">
        <v>1</v>
      </c>
      <c r="AZ20">
        <v>0</v>
      </c>
      <c r="BA20">
        <v>20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  <c r="CB20">
        <v>0</v>
      </c>
    </row>
    <row r="21" spans="1:80" ht="12.75">
      <c r="A21">
        <f>ROW(Source!A26)</f>
        <v>26</v>
      </c>
      <c r="B21">
        <v>16637226</v>
      </c>
      <c r="C21">
        <v>16637157</v>
      </c>
      <c r="D21">
        <v>15694083</v>
      </c>
      <c r="E21">
        <v>1</v>
      </c>
      <c r="F21">
        <v>1</v>
      </c>
      <c r="G21">
        <v>1</v>
      </c>
      <c r="H21">
        <v>2</v>
      </c>
      <c r="I21" t="s">
        <v>127</v>
      </c>
      <c r="L21">
        <v>1368</v>
      </c>
      <c r="Y21">
        <v>7.10125</v>
      </c>
      <c r="AA21">
        <v>0</v>
      </c>
      <c r="AB21">
        <v>30</v>
      </c>
      <c r="AC21">
        <v>0</v>
      </c>
      <c r="AD21">
        <v>0</v>
      </c>
      <c r="AN21">
        <v>0</v>
      </c>
      <c r="AO21">
        <v>1</v>
      </c>
      <c r="AP21">
        <v>1</v>
      </c>
      <c r="AQ21">
        <v>0</v>
      </c>
      <c r="AR21">
        <v>0</v>
      </c>
      <c r="AT21">
        <v>4.94</v>
      </c>
      <c r="AU21" t="s">
        <v>39</v>
      </c>
      <c r="AV21">
        <v>0</v>
      </c>
      <c r="AW21">
        <v>2</v>
      </c>
      <c r="AX21">
        <v>16637226</v>
      </c>
      <c r="AY21">
        <v>1</v>
      </c>
      <c r="AZ21">
        <v>0</v>
      </c>
      <c r="BA21">
        <v>21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CB21">
        <v>0</v>
      </c>
    </row>
    <row r="22" spans="1:80" ht="12.75">
      <c r="A22">
        <f>ROW(Source!A26)</f>
        <v>26</v>
      </c>
      <c r="B22">
        <v>16637227</v>
      </c>
      <c r="C22">
        <v>16637157</v>
      </c>
      <c r="D22">
        <v>15695170</v>
      </c>
      <c r="E22">
        <v>1</v>
      </c>
      <c r="F22">
        <v>1</v>
      </c>
      <c r="G22">
        <v>1</v>
      </c>
      <c r="H22">
        <v>2</v>
      </c>
      <c r="I22" t="s">
        <v>127</v>
      </c>
      <c r="L22">
        <v>1368</v>
      </c>
      <c r="Y22">
        <v>0.1725</v>
      </c>
      <c r="AA22">
        <v>0</v>
      </c>
      <c r="AB22">
        <v>87.17</v>
      </c>
      <c r="AC22">
        <v>11.6</v>
      </c>
      <c r="AD22">
        <v>0</v>
      </c>
      <c r="AN22">
        <v>0</v>
      </c>
      <c r="AO22">
        <v>1</v>
      </c>
      <c r="AP22">
        <v>1</v>
      </c>
      <c r="AQ22">
        <v>0</v>
      </c>
      <c r="AR22">
        <v>0</v>
      </c>
      <c r="AT22">
        <v>0.12</v>
      </c>
      <c r="AU22" t="s">
        <v>39</v>
      </c>
      <c r="AV22">
        <v>0</v>
      </c>
      <c r="AW22">
        <v>2</v>
      </c>
      <c r="AX22">
        <v>16637227</v>
      </c>
      <c r="AY22">
        <v>1</v>
      </c>
      <c r="AZ22">
        <v>0</v>
      </c>
      <c r="BA22">
        <v>22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  <c r="CB22">
        <v>0</v>
      </c>
    </row>
    <row r="23" spans="1:80" ht="12.75">
      <c r="A23">
        <f>ROW(Source!A26)</f>
        <v>26</v>
      </c>
      <c r="B23">
        <v>16637228</v>
      </c>
      <c r="C23">
        <v>16637157</v>
      </c>
      <c r="D23">
        <v>15696269</v>
      </c>
      <c r="E23">
        <v>1</v>
      </c>
      <c r="F23">
        <v>1</v>
      </c>
      <c r="G23">
        <v>1</v>
      </c>
      <c r="H23">
        <v>3</v>
      </c>
      <c r="I23" t="s">
        <v>127</v>
      </c>
      <c r="L23">
        <v>1348</v>
      </c>
      <c r="Y23">
        <v>0.605</v>
      </c>
      <c r="AA23">
        <v>3390</v>
      </c>
      <c r="AB23">
        <v>0</v>
      </c>
      <c r="AC23">
        <v>0</v>
      </c>
      <c r="AD23">
        <v>0</v>
      </c>
      <c r="AN23">
        <v>0</v>
      </c>
      <c r="AO23">
        <v>1</v>
      </c>
      <c r="AP23">
        <v>0</v>
      </c>
      <c r="AQ23">
        <v>0</v>
      </c>
      <c r="AR23">
        <v>0</v>
      </c>
      <c r="AT23">
        <v>0.605</v>
      </c>
      <c r="AV23">
        <v>0</v>
      </c>
      <c r="AW23">
        <v>2</v>
      </c>
      <c r="AX23">
        <v>16637228</v>
      </c>
      <c r="AY23">
        <v>1</v>
      </c>
      <c r="AZ23">
        <v>0</v>
      </c>
      <c r="BA23">
        <v>23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CB23">
        <v>0</v>
      </c>
    </row>
    <row r="24" spans="1:80" ht="12.75">
      <c r="A24">
        <f>ROW(Source!A26)</f>
        <v>26</v>
      </c>
      <c r="B24">
        <v>16637229</v>
      </c>
      <c r="C24">
        <v>16637157</v>
      </c>
      <c r="D24">
        <v>15698752</v>
      </c>
      <c r="E24">
        <v>1</v>
      </c>
      <c r="F24">
        <v>1</v>
      </c>
      <c r="G24">
        <v>1</v>
      </c>
      <c r="H24">
        <v>3</v>
      </c>
      <c r="I24" t="s">
        <v>127</v>
      </c>
      <c r="L24">
        <v>1327</v>
      </c>
      <c r="Y24">
        <v>252</v>
      </c>
      <c r="AA24">
        <v>0</v>
      </c>
      <c r="AB24">
        <v>0</v>
      </c>
      <c r="AC24">
        <v>0</v>
      </c>
      <c r="AD24">
        <v>0</v>
      </c>
      <c r="AN24">
        <v>0</v>
      </c>
      <c r="AO24">
        <v>1</v>
      </c>
      <c r="AP24">
        <v>0</v>
      </c>
      <c r="AQ24">
        <v>0</v>
      </c>
      <c r="AR24">
        <v>0</v>
      </c>
      <c r="AT24">
        <v>252</v>
      </c>
      <c r="AV24">
        <v>0</v>
      </c>
      <c r="AW24">
        <v>2</v>
      </c>
      <c r="AX24">
        <v>16637229</v>
      </c>
      <c r="AY24">
        <v>1</v>
      </c>
      <c r="AZ24">
        <v>0</v>
      </c>
      <c r="BA24">
        <v>24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CB24">
        <v>0</v>
      </c>
    </row>
    <row r="25" spans="1:80" ht="12.75">
      <c r="A25">
        <f>ROW(Source!A26)</f>
        <v>26</v>
      </c>
      <c r="B25">
        <v>16637230</v>
      </c>
      <c r="C25">
        <v>16637157</v>
      </c>
      <c r="D25">
        <v>15710795</v>
      </c>
      <c r="E25">
        <v>1</v>
      </c>
      <c r="F25">
        <v>1</v>
      </c>
      <c r="G25">
        <v>1</v>
      </c>
      <c r="H25">
        <v>3</v>
      </c>
      <c r="I25" t="s">
        <v>127</v>
      </c>
      <c r="L25">
        <v>1339</v>
      </c>
      <c r="Y25">
        <v>0.51</v>
      </c>
      <c r="AA25">
        <v>519.8</v>
      </c>
      <c r="AB25">
        <v>0</v>
      </c>
      <c r="AC25">
        <v>0</v>
      </c>
      <c r="AD25">
        <v>0</v>
      </c>
      <c r="AN25">
        <v>0</v>
      </c>
      <c r="AO25">
        <v>1</v>
      </c>
      <c r="AP25">
        <v>0</v>
      </c>
      <c r="AQ25">
        <v>0</v>
      </c>
      <c r="AR25">
        <v>0</v>
      </c>
      <c r="AT25">
        <v>0.51</v>
      </c>
      <c r="AV25">
        <v>0</v>
      </c>
      <c r="AW25">
        <v>2</v>
      </c>
      <c r="AX25">
        <v>16637230</v>
      </c>
      <c r="AY25">
        <v>1</v>
      </c>
      <c r="AZ25">
        <v>0</v>
      </c>
      <c r="BA25">
        <v>25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CB25">
        <v>0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R25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44" ht="12.75">
      <c r="A1">
        <f>ROW(Source!A23)</f>
        <v>23</v>
      </c>
      <c r="B1">
        <v>16637203</v>
      </c>
      <c r="C1">
        <v>16637129</v>
      </c>
      <c r="D1">
        <v>15744324</v>
      </c>
      <c r="E1">
        <v>1</v>
      </c>
      <c r="F1">
        <v>1</v>
      </c>
      <c r="G1">
        <v>1</v>
      </c>
      <c r="H1">
        <v>1</v>
      </c>
      <c r="I1" t="s">
        <v>127</v>
      </c>
      <c r="X1">
        <v>129.9</v>
      </c>
      <c r="Y1">
        <v>0</v>
      </c>
      <c r="Z1">
        <v>0</v>
      </c>
      <c r="AA1">
        <v>0</v>
      </c>
      <c r="AB1">
        <v>8.86</v>
      </c>
      <c r="AC1">
        <v>0</v>
      </c>
      <c r="AD1">
        <v>1</v>
      </c>
      <c r="AE1">
        <v>1</v>
      </c>
      <c r="AF1" t="s">
        <v>17</v>
      </c>
      <c r="AG1">
        <v>149.385</v>
      </c>
      <c r="AH1">
        <v>2</v>
      </c>
      <c r="AI1">
        <v>16637203</v>
      </c>
      <c r="AJ1">
        <v>1</v>
      </c>
      <c r="AK1">
        <v>0</v>
      </c>
      <c r="AL1">
        <v>0</v>
      </c>
      <c r="AM1">
        <v>0</v>
      </c>
      <c r="AN1">
        <v>0</v>
      </c>
      <c r="AO1">
        <v>0</v>
      </c>
      <c r="AP1">
        <v>0</v>
      </c>
      <c r="AQ1">
        <v>0</v>
      </c>
      <c r="AR1">
        <v>0</v>
      </c>
    </row>
    <row r="2" spans="1:44" ht="12.75">
      <c r="A2">
        <f>ROW(Source!A23)</f>
        <v>23</v>
      </c>
      <c r="B2">
        <v>16637204</v>
      </c>
      <c r="C2">
        <v>16637129</v>
      </c>
      <c r="D2">
        <v>121548</v>
      </c>
      <c r="E2">
        <v>1</v>
      </c>
      <c r="F2">
        <v>1</v>
      </c>
      <c r="G2">
        <v>1</v>
      </c>
      <c r="H2">
        <v>1</v>
      </c>
      <c r="I2" t="s">
        <v>127</v>
      </c>
      <c r="X2">
        <v>1.38</v>
      </c>
      <c r="Y2">
        <v>0</v>
      </c>
      <c r="Z2">
        <v>0</v>
      </c>
      <c r="AA2">
        <v>0</v>
      </c>
      <c r="AB2">
        <v>0</v>
      </c>
      <c r="AC2">
        <v>0</v>
      </c>
      <c r="AD2">
        <v>1</v>
      </c>
      <c r="AE2">
        <v>2</v>
      </c>
      <c r="AF2" t="s">
        <v>17</v>
      </c>
      <c r="AG2">
        <v>1.5869999999999997</v>
      </c>
      <c r="AH2">
        <v>2</v>
      </c>
      <c r="AI2">
        <v>16637204</v>
      </c>
      <c r="AJ2">
        <v>2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</row>
    <row r="3" spans="1:44" ht="12.75">
      <c r="A3">
        <f>ROW(Source!A23)</f>
        <v>23</v>
      </c>
      <c r="B3">
        <v>16637205</v>
      </c>
      <c r="C3">
        <v>16637129</v>
      </c>
      <c r="D3">
        <v>15693529</v>
      </c>
      <c r="E3">
        <v>1</v>
      </c>
      <c r="F3">
        <v>1</v>
      </c>
      <c r="G3">
        <v>1</v>
      </c>
      <c r="H3">
        <v>2</v>
      </c>
      <c r="I3" t="s">
        <v>127</v>
      </c>
      <c r="X3">
        <v>2.1</v>
      </c>
      <c r="Y3">
        <v>0</v>
      </c>
      <c r="Z3">
        <v>1.7</v>
      </c>
      <c r="AA3">
        <v>0</v>
      </c>
      <c r="AB3">
        <v>0</v>
      </c>
      <c r="AC3">
        <v>0</v>
      </c>
      <c r="AD3">
        <v>1</v>
      </c>
      <c r="AE3">
        <v>0</v>
      </c>
      <c r="AF3" t="s">
        <v>17</v>
      </c>
      <c r="AG3">
        <v>2.415</v>
      </c>
      <c r="AH3">
        <v>2</v>
      </c>
      <c r="AI3">
        <v>16637205</v>
      </c>
      <c r="AJ3">
        <v>3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</row>
    <row r="4" spans="1:44" ht="12.75">
      <c r="A4">
        <f>ROW(Source!A23)</f>
        <v>23</v>
      </c>
      <c r="B4">
        <v>16637206</v>
      </c>
      <c r="C4">
        <v>16637129</v>
      </c>
      <c r="D4">
        <v>15693671</v>
      </c>
      <c r="E4">
        <v>1</v>
      </c>
      <c r="F4">
        <v>1</v>
      </c>
      <c r="G4">
        <v>1</v>
      </c>
      <c r="H4">
        <v>2</v>
      </c>
      <c r="I4" t="s">
        <v>127</v>
      </c>
      <c r="X4">
        <v>1.38</v>
      </c>
      <c r="Y4">
        <v>0</v>
      </c>
      <c r="Z4">
        <v>46.56</v>
      </c>
      <c r="AA4">
        <v>10.06</v>
      </c>
      <c r="AB4">
        <v>0</v>
      </c>
      <c r="AC4">
        <v>0</v>
      </c>
      <c r="AD4">
        <v>1</v>
      </c>
      <c r="AE4">
        <v>0</v>
      </c>
      <c r="AF4" t="s">
        <v>17</v>
      </c>
      <c r="AG4">
        <v>1.5869999999999997</v>
      </c>
      <c r="AH4">
        <v>2</v>
      </c>
      <c r="AI4">
        <v>16637206</v>
      </c>
      <c r="AJ4">
        <v>4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</row>
    <row r="5" spans="1:44" ht="12.75">
      <c r="A5">
        <f>ROW(Source!A23)</f>
        <v>23</v>
      </c>
      <c r="B5">
        <v>16637207</v>
      </c>
      <c r="C5">
        <v>16637129</v>
      </c>
      <c r="D5">
        <v>15694886</v>
      </c>
      <c r="E5">
        <v>1</v>
      </c>
      <c r="F5">
        <v>1</v>
      </c>
      <c r="G5">
        <v>1</v>
      </c>
      <c r="H5">
        <v>2</v>
      </c>
      <c r="I5" t="s">
        <v>127</v>
      </c>
      <c r="X5">
        <v>1.38</v>
      </c>
      <c r="Y5">
        <v>0</v>
      </c>
      <c r="Z5">
        <v>1.53</v>
      </c>
      <c r="AA5">
        <v>0</v>
      </c>
      <c r="AB5">
        <v>0</v>
      </c>
      <c r="AC5">
        <v>0</v>
      </c>
      <c r="AD5">
        <v>1</v>
      </c>
      <c r="AE5">
        <v>0</v>
      </c>
      <c r="AF5" t="s">
        <v>17</v>
      </c>
      <c r="AG5">
        <v>1.5869999999999997</v>
      </c>
      <c r="AH5">
        <v>2</v>
      </c>
      <c r="AI5">
        <v>16637207</v>
      </c>
      <c r="AJ5">
        <v>5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</row>
    <row r="6" spans="1:44" ht="12.75">
      <c r="A6">
        <f>ROW(Source!A23)</f>
        <v>23</v>
      </c>
      <c r="B6">
        <v>16637208</v>
      </c>
      <c r="C6">
        <v>16637129</v>
      </c>
      <c r="D6">
        <v>15696781</v>
      </c>
      <c r="E6">
        <v>1</v>
      </c>
      <c r="F6">
        <v>1</v>
      </c>
      <c r="G6">
        <v>1</v>
      </c>
      <c r="H6">
        <v>3</v>
      </c>
      <c r="I6" t="s">
        <v>127</v>
      </c>
      <c r="X6">
        <v>0.021</v>
      </c>
      <c r="Y6">
        <v>412.01</v>
      </c>
      <c r="Z6">
        <v>0</v>
      </c>
      <c r="AA6">
        <v>0</v>
      </c>
      <c r="AB6">
        <v>0</v>
      </c>
      <c r="AC6">
        <v>0</v>
      </c>
      <c r="AD6">
        <v>1</v>
      </c>
      <c r="AE6">
        <v>0</v>
      </c>
      <c r="AG6">
        <v>0.021</v>
      </c>
      <c r="AH6">
        <v>2</v>
      </c>
      <c r="AI6">
        <v>16637208</v>
      </c>
      <c r="AJ6">
        <v>6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</row>
    <row r="7" spans="1:44" ht="12.75">
      <c r="A7">
        <f>ROW(Source!A23)</f>
        <v>23</v>
      </c>
      <c r="B7">
        <v>16637209</v>
      </c>
      <c r="C7">
        <v>16637129</v>
      </c>
      <c r="D7">
        <v>15710795</v>
      </c>
      <c r="E7">
        <v>1</v>
      </c>
      <c r="F7">
        <v>1</v>
      </c>
      <c r="G7">
        <v>1</v>
      </c>
      <c r="H7">
        <v>3</v>
      </c>
      <c r="I7" t="s">
        <v>127</v>
      </c>
      <c r="X7">
        <v>2.14</v>
      </c>
      <c r="Y7">
        <v>519.8</v>
      </c>
      <c r="Z7">
        <v>0</v>
      </c>
      <c r="AA7">
        <v>0</v>
      </c>
      <c r="AB7">
        <v>0</v>
      </c>
      <c r="AC7">
        <v>0</v>
      </c>
      <c r="AD7">
        <v>1</v>
      </c>
      <c r="AE7">
        <v>0</v>
      </c>
      <c r="AG7">
        <v>2.14</v>
      </c>
      <c r="AH7">
        <v>2</v>
      </c>
      <c r="AI7">
        <v>16637209</v>
      </c>
      <c r="AJ7">
        <v>7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</row>
    <row r="8" spans="1:44" ht="12.75">
      <c r="A8">
        <f>ROW(Source!A23)</f>
        <v>23</v>
      </c>
      <c r="B8">
        <v>16637210</v>
      </c>
      <c r="C8">
        <v>16637129</v>
      </c>
      <c r="D8">
        <v>15726389</v>
      </c>
      <c r="E8">
        <v>1</v>
      </c>
      <c r="F8">
        <v>1</v>
      </c>
      <c r="G8">
        <v>1</v>
      </c>
      <c r="H8">
        <v>3</v>
      </c>
      <c r="I8" t="s">
        <v>128</v>
      </c>
      <c r="J8" t="s">
        <v>129</v>
      </c>
      <c r="K8" t="s">
        <v>130</v>
      </c>
      <c r="L8">
        <v>1348</v>
      </c>
      <c r="N8">
        <v>1009</v>
      </c>
      <c r="O8" t="s">
        <v>131</v>
      </c>
      <c r="P8" t="s">
        <v>131</v>
      </c>
      <c r="Q8">
        <v>1000</v>
      </c>
      <c r="X8">
        <v>1.48</v>
      </c>
      <c r="Y8">
        <v>0</v>
      </c>
      <c r="Z8">
        <v>0</v>
      </c>
      <c r="AA8">
        <v>0</v>
      </c>
      <c r="AB8">
        <v>0</v>
      </c>
      <c r="AC8">
        <v>1</v>
      </c>
      <c r="AD8">
        <v>0</v>
      </c>
      <c r="AE8">
        <v>0</v>
      </c>
      <c r="AG8">
        <v>1.48</v>
      </c>
      <c r="AH8">
        <v>2</v>
      </c>
      <c r="AI8">
        <v>16637210</v>
      </c>
      <c r="AJ8">
        <v>8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</row>
    <row r="9" spans="1:44" ht="12.75">
      <c r="A9">
        <f>ROW(Source!A24)</f>
        <v>24</v>
      </c>
      <c r="B9">
        <v>16637212</v>
      </c>
      <c r="C9">
        <v>16637086</v>
      </c>
      <c r="D9">
        <v>15748127</v>
      </c>
      <c r="E9">
        <v>1</v>
      </c>
      <c r="F9">
        <v>1</v>
      </c>
      <c r="G9">
        <v>1</v>
      </c>
      <c r="H9">
        <v>1</v>
      </c>
      <c r="I9" t="s">
        <v>127</v>
      </c>
      <c r="X9">
        <v>43.04</v>
      </c>
      <c r="Y9">
        <v>0</v>
      </c>
      <c r="Z9">
        <v>0</v>
      </c>
      <c r="AA9">
        <v>0</v>
      </c>
      <c r="AB9">
        <v>8.74</v>
      </c>
      <c r="AC9">
        <v>0</v>
      </c>
      <c r="AD9">
        <v>1</v>
      </c>
      <c r="AE9">
        <v>1</v>
      </c>
      <c r="AF9" t="s">
        <v>17</v>
      </c>
      <c r="AG9">
        <v>49.495999999999995</v>
      </c>
      <c r="AH9">
        <v>2</v>
      </c>
      <c r="AI9">
        <v>16637212</v>
      </c>
      <c r="AJ9">
        <v>9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</row>
    <row r="10" spans="1:44" ht="12.75">
      <c r="A10">
        <f>ROW(Source!A24)</f>
        <v>24</v>
      </c>
      <c r="B10">
        <v>16637213</v>
      </c>
      <c r="C10">
        <v>16637086</v>
      </c>
      <c r="D10">
        <v>121548</v>
      </c>
      <c r="E10">
        <v>1</v>
      </c>
      <c r="F10">
        <v>1</v>
      </c>
      <c r="G10">
        <v>1</v>
      </c>
      <c r="H10">
        <v>1</v>
      </c>
      <c r="I10" t="s">
        <v>127</v>
      </c>
      <c r="X10">
        <v>0.27</v>
      </c>
      <c r="Y10">
        <v>0</v>
      </c>
      <c r="Z10">
        <v>0</v>
      </c>
      <c r="AA10">
        <v>0</v>
      </c>
      <c r="AB10">
        <v>0</v>
      </c>
      <c r="AC10">
        <v>0</v>
      </c>
      <c r="AD10">
        <v>1</v>
      </c>
      <c r="AE10">
        <v>2</v>
      </c>
      <c r="AF10" t="s">
        <v>17</v>
      </c>
      <c r="AG10">
        <v>0.3105</v>
      </c>
      <c r="AH10">
        <v>2</v>
      </c>
      <c r="AI10">
        <v>16637213</v>
      </c>
      <c r="AJ10">
        <v>10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</row>
    <row r="11" spans="1:44" ht="12.75">
      <c r="A11">
        <f>ROW(Source!A24)</f>
        <v>24</v>
      </c>
      <c r="B11">
        <v>16637214</v>
      </c>
      <c r="C11">
        <v>16637086</v>
      </c>
      <c r="D11">
        <v>15693564</v>
      </c>
      <c r="E11">
        <v>1</v>
      </c>
      <c r="F11">
        <v>1</v>
      </c>
      <c r="G11">
        <v>1</v>
      </c>
      <c r="H11">
        <v>2</v>
      </c>
      <c r="I11" t="s">
        <v>127</v>
      </c>
      <c r="X11">
        <v>0.27</v>
      </c>
      <c r="Y11">
        <v>0</v>
      </c>
      <c r="Z11">
        <v>31.26</v>
      </c>
      <c r="AA11">
        <v>11.6</v>
      </c>
      <c r="AB11">
        <v>0</v>
      </c>
      <c r="AC11">
        <v>0</v>
      </c>
      <c r="AD11">
        <v>1</v>
      </c>
      <c r="AE11">
        <v>0</v>
      </c>
      <c r="AF11" t="s">
        <v>17</v>
      </c>
      <c r="AG11">
        <v>0.3105</v>
      </c>
      <c r="AH11">
        <v>2</v>
      </c>
      <c r="AI11">
        <v>16637214</v>
      </c>
      <c r="AJ11">
        <v>11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</row>
    <row r="12" spans="1:44" ht="12.75">
      <c r="A12">
        <f>ROW(Source!A24)</f>
        <v>24</v>
      </c>
      <c r="B12">
        <v>16637215</v>
      </c>
      <c r="C12">
        <v>16637086</v>
      </c>
      <c r="D12">
        <v>15694083</v>
      </c>
      <c r="E12">
        <v>1</v>
      </c>
      <c r="F12">
        <v>1</v>
      </c>
      <c r="G12">
        <v>1</v>
      </c>
      <c r="H12">
        <v>2</v>
      </c>
      <c r="I12" t="s">
        <v>127</v>
      </c>
      <c r="X12">
        <v>1.49</v>
      </c>
      <c r="Y12">
        <v>0</v>
      </c>
      <c r="Z12">
        <v>30</v>
      </c>
      <c r="AA12">
        <v>0</v>
      </c>
      <c r="AB12">
        <v>0</v>
      </c>
      <c r="AC12">
        <v>0</v>
      </c>
      <c r="AD12">
        <v>1</v>
      </c>
      <c r="AE12">
        <v>0</v>
      </c>
      <c r="AF12" t="s">
        <v>17</v>
      </c>
      <c r="AG12">
        <v>1.7134999999999998</v>
      </c>
      <c r="AH12">
        <v>2</v>
      </c>
      <c r="AI12">
        <v>16637215</v>
      </c>
      <c r="AJ12">
        <v>12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</row>
    <row r="13" spans="1:44" ht="12.75">
      <c r="A13">
        <f>ROW(Source!A24)</f>
        <v>24</v>
      </c>
      <c r="B13">
        <v>16637216</v>
      </c>
      <c r="C13">
        <v>16637086</v>
      </c>
      <c r="D13">
        <v>15695170</v>
      </c>
      <c r="E13">
        <v>1</v>
      </c>
      <c r="F13">
        <v>1</v>
      </c>
      <c r="G13">
        <v>1</v>
      </c>
      <c r="H13">
        <v>2</v>
      </c>
      <c r="I13" t="s">
        <v>127</v>
      </c>
      <c r="X13">
        <v>0.18</v>
      </c>
      <c r="Y13">
        <v>0</v>
      </c>
      <c r="Z13">
        <v>87.17</v>
      </c>
      <c r="AA13">
        <v>11.6</v>
      </c>
      <c r="AB13">
        <v>0</v>
      </c>
      <c r="AC13">
        <v>0</v>
      </c>
      <c r="AD13">
        <v>1</v>
      </c>
      <c r="AE13">
        <v>0</v>
      </c>
      <c r="AF13" t="s">
        <v>17</v>
      </c>
      <c r="AG13">
        <v>0.207</v>
      </c>
      <c r="AH13">
        <v>2</v>
      </c>
      <c r="AI13">
        <v>16637216</v>
      </c>
      <c r="AJ13">
        <v>13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</row>
    <row r="14" spans="1:44" ht="12.75">
      <c r="A14">
        <f>ROW(Source!A24)</f>
        <v>24</v>
      </c>
      <c r="B14">
        <v>16637217</v>
      </c>
      <c r="C14">
        <v>16637086</v>
      </c>
      <c r="D14">
        <v>15696269</v>
      </c>
      <c r="E14">
        <v>1</v>
      </c>
      <c r="F14">
        <v>1</v>
      </c>
      <c r="G14">
        <v>1</v>
      </c>
      <c r="H14">
        <v>3</v>
      </c>
      <c r="I14" t="s">
        <v>127</v>
      </c>
      <c r="X14">
        <v>0.57</v>
      </c>
      <c r="Y14">
        <v>3390</v>
      </c>
      <c r="Z14">
        <v>0</v>
      </c>
      <c r="AA14">
        <v>0</v>
      </c>
      <c r="AB14">
        <v>0</v>
      </c>
      <c r="AC14">
        <v>0</v>
      </c>
      <c r="AD14">
        <v>1</v>
      </c>
      <c r="AE14">
        <v>0</v>
      </c>
      <c r="AG14">
        <v>0.57</v>
      </c>
      <c r="AH14">
        <v>2</v>
      </c>
      <c r="AI14">
        <v>16637217</v>
      </c>
      <c r="AJ14">
        <v>14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</row>
    <row r="15" spans="1:44" ht="12.75">
      <c r="A15">
        <f>ROW(Source!A24)</f>
        <v>24</v>
      </c>
      <c r="B15">
        <v>16637218</v>
      </c>
      <c r="C15">
        <v>16637086</v>
      </c>
      <c r="D15">
        <v>15698752</v>
      </c>
      <c r="E15">
        <v>1</v>
      </c>
      <c r="F15">
        <v>1</v>
      </c>
      <c r="G15">
        <v>1</v>
      </c>
      <c r="H15">
        <v>3</v>
      </c>
      <c r="I15" t="s">
        <v>132</v>
      </c>
      <c r="J15" t="s">
        <v>133</v>
      </c>
      <c r="K15" t="s">
        <v>134</v>
      </c>
      <c r="L15">
        <v>1327</v>
      </c>
      <c r="N15">
        <v>1005</v>
      </c>
      <c r="O15" t="s">
        <v>32</v>
      </c>
      <c r="P15" t="s">
        <v>32</v>
      </c>
      <c r="Q15">
        <v>1</v>
      </c>
      <c r="X15">
        <v>233</v>
      </c>
      <c r="Y15">
        <v>0</v>
      </c>
      <c r="Z15">
        <v>0</v>
      </c>
      <c r="AA15">
        <v>0</v>
      </c>
      <c r="AB15">
        <v>0</v>
      </c>
      <c r="AC15">
        <v>1</v>
      </c>
      <c r="AD15">
        <v>0</v>
      </c>
      <c r="AE15">
        <v>0</v>
      </c>
      <c r="AG15">
        <v>233</v>
      </c>
      <c r="AH15">
        <v>3</v>
      </c>
      <c r="AI15">
        <v>-1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</row>
    <row r="16" spans="1:44" ht="12.75">
      <c r="A16">
        <f>ROW(Source!A24)</f>
        <v>24</v>
      </c>
      <c r="B16">
        <v>16637219</v>
      </c>
      <c r="C16">
        <v>16637086</v>
      </c>
      <c r="D16">
        <v>15726389</v>
      </c>
      <c r="E16">
        <v>1</v>
      </c>
      <c r="F16">
        <v>1</v>
      </c>
      <c r="G16">
        <v>1</v>
      </c>
      <c r="H16">
        <v>3</v>
      </c>
      <c r="I16" t="s">
        <v>128</v>
      </c>
      <c r="J16" t="s">
        <v>129</v>
      </c>
      <c r="K16" t="s">
        <v>130</v>
      </c>
      <c r="L16">
        <v>1348</v>
      </c>
      <c r="N16">
        <v>1009</v>
      </c>
      <c r="O16" t="s">
        <v>131</v>
      </c>
      <c r="P16" t="s">
        <v>131</v>
      </c>
      <c r="Q16">
        <v>1000</v>
      </c>
      <c r="X16">
        <v>0.65</v>
      </c>
      <c r="Y16">
        <v>0</v>
      </c>
      <c r="Z16">
        <v>0</v>
      </c>
      <c r="AA16">
        <v>0</v>
      </c>
      <c r="AB16">
        <v>0</v>
      </c>
      <c r="AC16">
        <v>1</v>
      </c>
      <c r="AD16">
        <v>0</v>
      </c>
      <c r="AE16">
        <v>0</v>
      </c>
      <c r="AG16">
        <v>0.65</v>
      </c>
      <c r="AH16">
        <v>2</v>
      </c>
      <c r="AI16">
        <v>16637219</v>
      </c>
      <c r="AJ16">
        <v>16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</row>
    <row r="17" spans="1:44" ht="12.75">
      <c r="A17">
        <f>ROW(Source!A26)</f>
        <v>26</v>
      </c>
      <c r="B17">
        <v>16637222</v>
      </c>
      <c r="C17">
        <v>16637157</v>
      </c>
      <c r="D17">
        <v>15750915</v>
      </c>
      <c r="E17">
        <v>1</v>
      </c>
      <c r="F17">
        <v>1</v>
      </c>
      <c r="G17">
        <v>1</v>
      </c>
      <c r="H17">
        <v>1</v>
      </c>
      <c r="I17" t="s">
        <v>127</v>
      </c>
      <c r="X17">
        <v>26.1</v>
      </c>
      <c r="Y17">
        <v>0</v>
      </c>
      <c r="Z17">
        <v>0</v>
      </c>
      <c r="AA17">
        <v>0</v>
      </c>
      <c r="AB17">
        <v>9.18</v>
      </c>
      <c r="AC17">
        <v>0</v>
      </c>
      <c r="AD17">
        <v>1</v>
      </c>
      <c r="AE17">
        <v>1</v>
      </c>
      <c r="AF17" t="s">
        <v>40</v>
      </c>
      <c r="AG17">
        <v>34.51725</v>
      </c>
      <c r="AH17">
        <v>2</v>
      </c>
      <c r="AI17">
        <v>16637222</v>
      </c>
      <c r="AJ17">
        <v>17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</row>
    <row r="18" spans="1:44" ht="12.75">
      <c r="A18">
        <f>ROW(Source!A26)</f>
        <v>26</v>
      </c>
      <c r="B18">
        <v>16637223</v>
      </c>
      <c r="C18">
        <v>16637157</v>
      </c>
      <c r="D18">
        <v>121548</v>
      </c>
      <c r="E18">
        <v>1</v>
      </c>
      <c r="F18">
        <v>1</v>
      </c>
      <c r="G18">
        <v>1</v>
      </c>
      <c r="H18">
        <v>1</v>
      </c>
      <c r="I18" t="s">
        <v>127</v>
      </c>
      <c r="X18">
        <v>0.24</v>
      </c>
      <c r="Y18">
        <v>0</v>
      </c>
      <c r="Z18">
        <v>0</v>
      </c>
      <c r="AA18">
        <v>0</v>
      </c>
      <c r="AB18">
        <v>0</v>
      </c>
      <c r="AC18">
        <v>0</v>
      </c>
      <c r="AD18">
        <v>1</v>
      </c>
      <c r="AE18">
        <v>2</v>
      </c>
      <c r="AF18" t="s">
        <v>39</v>
      </c>
      <c r="AG18">
        <v>0.345</v>
      </c>
      <c r="AH18">
        <v>2</v>
      </c>
      <c r="AI18">
        <v>16637223</v>
      </c>
      <c r="AJ18">
        <v>18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</row>
    <row r="19" spans="1:44" ht="12.75">
      <c r="A19">
        <f>ROW(Source!A26)</f>
        <v>26</v>
      </c>
      <c r="B19">
        <v>16637224</v>
      </c>
      <c r="C19">
        <v>16637157</v>
      </c>
      <c r="D19">
        <v>15693350</v>
      </c>
      <c r="E19">
        <v>1</v>
      </c>
      <c r="F19">
        <v>1</v>
      </c>
      <c r="G19">
        <v>1</v>
      </c>
      <c r="H19">
        <v>2</v>
      </c>
      <c r="I19" t="s">
        <v>127</v>
      </c>
      <c r="X19">
        <v>0.15</v>
      </c>
      <c r="Y19">
        <v>0</v>
      </c>
      <c r="Z19">
        <v>86.4</v>
      </c>
      <c r="AA19">
        <v>13.5</v>
      </c>
      <c r="AB19">
        <v>0</v>
      </c>
      <c r="AC19">
        <v>0</v>
      </c>
      <c r="AD19">
        <v>1</v>
      </c>
      <c r="AE19">
        <v>0</v>
      </c>
      <c r="AF19" t="s">
        <v>39</v>
      </c>
      <c r="AG19">
        <v>0.21562499999999998</v>
      </c>
      <c r="AH19">
        <v>2</v>
      </c>
      <c r="AI19">
        <v>16637224</v>
      </c>
      <c r="AJ19">
        <v>19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</row>
    <row r="20" spans="1:44" ht="12.75">
      <c r="A20">
        <f>ROW(Source!A26)</f>
        <v>26</v>
      </c>
      <c r="B20">
        <v>16637225</v>
      </c>
      <c r="C20">
        <v>16637157</v>
      </c>
      <c r="D20">
        <v>15693434</v>
      </c>
      <c r="E20">
        <v>1</v>
      </c>
      <c r="F20">
        <v>1</v>
      </c>
      <c r="G20">
        <v>1</v>
      </c>
      <c r="H20">
        <v>2</v>
      </c>
      <c r="I20" t="s">
        <v>127</v>
      </c>
      <c r="X20">
        <v>0.09</v>
      </c>
      <c r="Y20">
        <v>0</v>
      </c>
      <c r="Z20">
        <v>112</v>
      </c>
      <c r="AA20">
        <v>13.5</v>
      </c>
      <c r="AB20">
        <v>0</v>
      </c>
      <c r="AC20">
        <v>0</v>
      </c>
      <c r="AD20">
        <v>1</v>
      </c>
      <c r="AE20">
        <v>0</v>
      </c>
      <c r="AF20" t="s">
        <v>39</v>
      </c>
      <c r="AG20">
        <v>0.129375</v>
      </c>
      <c r="AH20">
        <v>2</v>
      </c>
      <c r="AI20">
        <v>16637225</v>
      </c>
      <c r="AJ20">
        <v>20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</row>
    <row r="21" spans="1:44" ht="12.75">
      <c r="A21">
        <f>ROW(Source!A26)</f>
        <v>26</v>
      </c>
      <c r="B21">
        <v>16637226</v>
      </c>
      <c r="C21">
        <v>16637157</v>
      </c>
      <c r="D21">
        <v>15694083</v>
      </c>
      <c r="E21">
        <v>1</v>
      </c>
      <c r="F21">
        <v>1</v>
      </c>
      <c r="G21">
        <v>1</v>
      </c>
      <c r="H21">
        <v>2</v>
      </c>
      <c r="I21" t="s">
        <v>127</v>
      </c>
      <c r="X21">
        <v>4.94</v>
      </c>
      <c r="Y21">
        <v>0</v>
      </c>
      <c r="Z21">
        <v>30</v>
      </c>
      <c r="AA21">
        <v>0</v>
      </c>
      <c r="AB21">
        <v>0</v>
      </c>
      <c r="AC21">
        <v>0</v>
      </c>
      <c r="AD21">
        <v>1</v>
      </c>
      <c r="AE21">
        <v>0</v>
      </c>
      <c r="AF21" t="s">
        <v>39</v>
      </c>
      <c r="AG21">
        <v>7.10125</v>
      </c>
      <c r="AH21">
        <v>2</v>
      </c>
      <c r="AI21">
        <v>16637226</v>
      </c>
      <c r="AJ21">
        <v>21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</row>
    <row r="22" spans="1:44" ht="12.75">
      <c r="A22">
        <f>ROW(Source!A26)</f>
        <v>26</v>
      </c>
      <c r="B22">
        <v>16637227</v>
      </c>
      <c r="C22">
        <v>16637157</v>
      </c>
      <c r="D22">
        <v>15695170</v>
      </c>
      <c r="E22">
        <v>1</v>
      </c>
      <c r="F22">
        <v>1</v>
      </c>
      <c r="G22">
        <v>1</v>
      </c>
      <c r="H22">
        <v>2</v>
      </c>
      <c r="I22" t="s">
        <v>127</v>
      </c>
      <c r="X22">
        <v>0.12</v>
      </c>
      <c r="Y22">
        <v>0</v>
      </c>
      <c r="Z22">
        <v>87.17</v>
      </c>
      <c r="AA22">
        <v>11.6</v>
      </c>
      <c r="AB22">
        <v>0</v>
      </c>
      <c r="AC22">
        <v>0</v>
      </c>
      <c r="AD22">
        <v>1</v>
      </c>
      <c r="AE22">
        <v>0</v>
      </c>
      <c r="AF22" t="s">
        <v>39</v>
      </c>
      <c r="AG22">
        <v>0.1725</v>
      </c>
      <c r="AH22">
        <v>2</v>
      </c>
      <c r="AI22">
        <v>16637227</v>
      </c>
      <c r="AJ22">
        <v>22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</row>
    <row r="23" spans="1:44" ht="12.75">
      <c r="A23">
        <f>ROW(Source!A26)</f>
        <v>26</v>
      </c>
      <c r="B23">
        <v>16637228</v>
      </c>
      <c r="C23">
        <v>16637157</v>
      </c>
      <c r="D23">
        <v>15696269</v>
      </c>
      <c r="E23">
        <v>1</v>
      </c>
      <c r="F23">
        <v>1</v>
      </c>
      <c r="G23">
        <v>1</v>
      </c>
      <c r="H23">
        <v>3</v>
      </c>
      <c r="I23" t="s">
        <v>127</v>
      </c>
      <c r="X23">
        <v>0.605</v>
      </c>
      <c r="Y23">
        <v>3390</v>
      </c>
      <c r="Z23">
        <v>0</v>
      </c>
      <c r="AA23">
        <v>0</v>
      </c>
      <c r="AB23">
        <v>0</v>
      </c>
      <c r="AC23">
        <v>0</v>
      </c>
      <c r="AD23">
        <v>1</v>
      </c>
      <c r="AE23">
        <v>0</v>
      </c>
      <c r="AG23">
        <v>0.605</v>
      </c>
      <c r="AH23">
        <v>2</v>
      </c>
      <c r="AI23">
        <v>16637228</v>
      </c>
      <c r="AJ23">
        <v>23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</row>
    <row r="24" spans="1:44" ht="12.75">
      <c r="A24">
        <f>ROW(Source!A26)</f>
        <v>26</v>
      </c>
      <c r="B24">
        <v>16637229</v>
      </c>
      <c r="C24">
        <v>16637157</v>
      </c>
      <c r="D24">
        <v>15698752</v>
      </c>
      <c r="E24">
        <v>1</v>
      </c>
      <c r="F24">
        <v>1</v>
      </c>
      <c r="G24">
        <v>1</v>
      </c>
      <c r="H24">
        <v>3</v>
      </c>
      <c r="I24" t="s">
        <v>127</v>
      </c>
      <c r="X24">
        <v>252</v>
      </c>
      <c r="Y24">
        <v>0</v>
      </c>
      <c r="Z24">
        <v>0</v>
      </c>
      <c r="AA24">
        <v>0</v>
      </c>
      <c r="AB24">
        <v>0</v>
      </c>
      <c r="AC24">
        <v>0</v>
      </c>
      <c r="AD24">
        <v>1</v>
      </c>
      <c r="AE24">
        <v>0</v>
      </c>
      <c r="AG24">
        <v>252</v>
      </c>
      <c r="AH24">
        <v>2</v>
      </c>
      <c r="AI24">
        <v>16637229</v>
      </c>
      <c r="AJ24">
        <v>24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</row>
    <row r="25" spans="1:44" ht="12.75">
      <c r="A25">
        <f>ROW(Source!A26)</f>
        <v>26</v>
      </c>
      <c r="B25">
        <v>16637230</v>
      </c>
      <c r="C25">
        <v>16637157</v>
      </c>
      <c r="D25">
        <v>15710795</v>
      </c>
      <c r="E25">
        <v>1</v>
      </c>
      <c r="F25">
        <v>1</v>
      </c>
      <c r="G25">
        <v>1</v>
      </c>
      <c r="H25">
        <v>3</v>
      </c>
      <c r="I25" t="s">
        <v>127</v>
      </c>
      <c r="X25">
        <v>0.51</v>
      </c>
      <c r="Y25">
        <v>519.8</v>
      </c>
      <c r="Z25">
        <v>0</v>
      </c>
      <c r="AA25">
        <v>0</v>
      </c>
      <c r="AB25">
        <v>0</v>
      </c>
      <c r="AC25">
        <v>0</v>
      </c>
      <c r="AD25">
        <v>1</v>
      </c>
      <c r="AE25">
        <v>0</v>
      </c>
      <c r="AG25">
        <v>0.51</v>
      </c>
      <c r="AH25">
        <v>2</v>
      </c>
      <c r="AI25">
        <v>16637230</v>
      </c>
      <c r="AJ25">
        <v>25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Маркетолог</dc:creator>
  <cp:keywords/>
  <dc:description/>
  <cp:lastModifiedBy>Маркетолог</cp:lastModifiedBy>
  <dcterms:created xsi:type="dcterms:W3CDTF">2020-05-29T12:14:12Z</dcterms:created>
  <dcterms:modified xsi:type="dcterms:W3CDTF">2020-05-29T12:14:12Z</dcterms:modified>
  <cp:category/>
  <cp:version/>
  <cp:contentType/>
  <cp:contentStatus/>
</cp:coreProperties>
</file>